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sandeeppande\Desktop\"/>
    </mc:Choice>
  </mc:AlternateContent>
  <xr:revisionPtr revIDLastSave="0" documentId="13_ncr:1_{A1B453B3-D60D-4BA2-A6B7-9651107520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1" sheetId="19" r:id="rId1"/>
    <sheet name="L2" sheetId="11" r:id="rId2"/>
    <sheet name="L3" sheetId="28" r:id="rId3"/>
    <sheet name="L4" sheetId="5" r:id="rId4"/>
    <sheet name="L5" sheetId="7" r:id="rId5"/>
    <sheet name="L6" sheetId="8" r:id="rId6"/>
    <sheet name="L7" sheetId="6" r:id="rId7"/>
    <sheet name="L10" sheetId="22" r:id="rId8"/>
    <sheet name="L11" sheetId="23" r:id="rId9"/>
    <sheet name="L15" sheetId="26" r:id="rId10"/>
    <sheet name="L17" sheetId="27" r:id="rId11"/>
    <sheet name="L22 Persistency Ratio" sheetId="29" r:id="rId12"/>
    <sheet name="L32" sheetId="9" r:id="rId13"/>
    <sheet name="L37FPI" sheetId="1" r:id="rId14"/>
    <sheet name="L37Lives" sheetId="2" r:id="rId15"/>
    <sheet name="L38 FPI" sheetId="4" r:id="rId16"/>
    <sheet name="L38 NOP" sheetId="3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42" i="26" l="1"/>
  <c r="AW17" i="19"/>
  <c r="AY65" i="28"/>
  <c r="AX65" i="28"/>
  <c r="AX36" i="8"/>
  <c r="AY36" i="8"/>
  <c r="AY38" i="8"/>
  <c r="AX22" i="6"/>
  <c r="AY22" i="6"/>
  <c r="AX15" i="6"/>
  <c r="AY15" i="6"/>
  <c r="AX32" i="26"/>
  <c r="AY20" i="26"/>
  <c r="AX20" i="26"/>
  <c r="AX10" i="26"/>
  <c r="AY10" i="26"/>
  <c r="AU38" i="19"/>
  <c r="AV19" i="19"/>
  <c r="AU19" i="19"/>
  <c r="AT13" i="11"/>
  <c r="AU66" i="28"/>
  <c r="AT66" i="28"/>
  <c r="AT56" i="28"/>
  <c r="AU34" i="28"/>
  <c r="AT34" i="28"/>
  <c r="AT36" i="8"/>
  <c r="AU36" i="8"/>
  <c r="AT31" i="8"/>
  <c r="AU10" i="6"/>
  <c r="AT10" i="6"/>
  <c r="AR22" i="6"/>
  <c r="AS22" i="6"/>
  <c r="AS66" i="28"/>
  <c r="AR66" i="28"/>
  <c r="AS34" i="28"/>
  <c r="AR34" i="28"/>
  <c r="AS32" i="11"/>
  <c r="AR21" i="11"/>
  <c r="AR13" i="11"/>
  <c r="AQ19" i="19"/>
  <c r="AR19" i="19"/>
  <c r="AO10" i="5"/>
  <c r="AQ36" i="8"/>
  <c r="AP36" i="8"/>
  <c r="AP25" i="26"/>
  <c r="AP22" i="26"/>
  <c r="AP19" i="26"/>
  <c r="AO36" i="8"/>
  <c r="AN66" i="28"/>
  <c r="AO66" i="28"/>
  <c r="AK38" i="19"/>
  <c r="AJ36" i="8"/>
  <c r="AK36" i="8"/>
  <c r="AK8" i="8"/>
  <c r="AJ8" i="8"/>
  <c r="AJ17" i="27"/>
  <c r="AI32" i="26"/>
  <c r="AH32" i="26"/>
  <c r="AH25" i="26"/>
  <c r="AI25" i="26"/>
  <c r="AI22" i="26"/>
  <c r="AH22" i="26"/>
  <c r="AH19" i="26"/>
  <c r="AI19" i="26"/>
  <c r="AI38" i="19"/>
  <c r="AI19" i="19"/>
  <c r="AG36" i="8"/>
  <c r="AF36" i="8"/>
  <c r="AG12" i="22"/>
  <c r="AF32" i="26"/>
  <c r="AG32" i="26"/>
  <c r="AG13" i="26"/>
  <c r="AG22" i="26" s="1"/>
  <c r="AD22" i="6"/>
  <c r="AD36" i="8"/>
  <c r="AE36" i="8"/>
  <c r="AE27" i="19"/>
  <c r="AF19" i="19"/>
  <c r="AE19" i="19"/>
  <c r="Z8" i="23"/>
  <c r="AA8" i="23"/>
  <c r="AA36" i="8"/>
  <c r="Z36" i="8"/>
  <c r="Z9" i="8"/>
  <c r="Z11" i="11"/>
  <c r="X57" i="19"/>
  <c r="W57" i="19"/>
  <c r="W36" i="19"/>
  <c r="Z19" i="19"/>
  <c r="Y19" i="19"/>
  <c r="Y40" i="11"/>
  <c r="Y18" i="11"/>
  <c r="X13" i="11"/>
  <c r="Y65" i="28"/>
  <c r="X65" i="28"/>
  <c r="AV65" i="28"/>
  <c r="AZ65" i="28" s="1"/>
  <c r="X60" i="28"/>
  <c r="Y60" i="28"/>
  <c r="X36" i="8"/>
  <c r="X26" i="8"/>
  <c r="Y36" i="8"/>
  <c r="X27" i="6"/>
  <c r="Y8" i="23"/>
  <c r="Y19" i="26"/>
  <c r="X19" i="26"/>
  <c r="W42" i="26"/>
  <c r="W32" i="26"/>
  <c r="V32" i="26"/>
  <c r="V42" i="26" s="1"/>
  <c r="W22" i="26"/>
  <c r="V22" i="26"/>
  <c r="V19" i="26"/>
  <c r="W8" i="23"/>
  <c r="V8" i="23"/>
  <c r="W36" i="8"/>
  <c r="W40" i="11"/>
  <c r="V18" i="11"/>
  <c r="W18" i="11"/>
  <c r="N40" i="11"/>
  <c r="O21" i="11"/>
  <c r="N21" i="11"/>
  <c r="O17" i="19"/>
  <c r="O19" i="19"/>
  <c r="P19" i="19"/>
  <c r="O8" i="19"/>
  <c r="V57" i="19"/>
  <c r="U38" i="19"/>
  <c r="U19" i="19"/>
  <c r="T13" i="11"/>
  <c r="U36" i="8"/>
  <c r="T36" i="8"/>
  <c r="U22" i="6"/>
  <c r="T22" i="6"/>
  <c r="T13" i="26"/>
  <c r="S13" i="11"/>
  <c r="R13" i="11"/>
  <c r="T36" i="19"/>
  <c r="S66" i="28"/>
  <c r="R66" i="28"/>
  <c r="R9" i="6"/>
  <c r="S9" i="6"/>
  <c r="P13" i="26"/>
  <c r="Q13" i="26"/>
  <c r="P12" i="26"/>
  <c r="Q12" i="26"/>
  <c r="Q40" i="11"/>
  <c r="AV16" i="9"/>
  <c r="AZ16" i="9" s="1"/>
  <c r="O66" i="28"/>
  <c r="N66" i="28"/>
  <c r="O36" i="8"/>
  <c r="O38" i="8" s="1"/>
  <c r="N36" i="8"/>
  <c r="N38" i="8"/>
  <c r="M25" i="26"/>
  <c r="M22" i="26"/>
  <c r="M19" i="26"/>
  <c r="M27" i="28"/>
  <c r="AW27" i="28" s="1"/>
  <c r="BA27" i="28"/>
  <c r="M23" i="28"/>
  <c r="AW23" i="28"/>
  <c r="BA23" i="28"/>
  <c r="M19" i="28"/>
  <c r="M18" i="28"/>
  <c r="L23" i="28"/>
  <c r="L18" i="28"/>
  <c r="M18" i="11"/>
  <c r="L21" i="11"/>
  <c r="M21" i="11"/>
  <c r="K19" i="19"/>
  <c r="L19" i="19"/>
  <c r="K32" i="11"/>
  <c r="AW32" i="11"/>
  <c r="BA32" i="11" s="1"/>
  <c r="K18" i="11"/>
  <c r="K26" i="11" s="1"/>
  <c r="K36" i="8"/>
  <c r="J36" i="8"/>
  <c r="J33" i="8"/>
  <c r="AV33" i="8"/>
  <c r="AZ33" i="8"/>
  <c r="J8" i="23"/>
  <c r="J32" i="26"/>
  <c r="J42" i="26"/>
  <c r="J25" i="26"/>
  <c r="J22" i="26"/>
  <c r="J19" i="26"/>
  <c r="I37" i="8"/>
  <c r="AW37" i="8"/>
  <c r="BA37" i="8" s="1"/>
  <c r="H8" i="8"/>
  <c r="AV8" i="8" s="1"/>
  <c r="AZ8" i="8" s="1"/>
  <c r="H29" i="7"/>
  <c r="I18" i="11"/>
  <c r="I26" i="11"/>
  <c r="F63" i="28"/>
  <c r="AV63" i="28"/>
  <c r="AZ63" i="28" s="1"/>
  <c r="F18" i="28"/>
  <c r="G63" i="28"/>
  <c r="AW63" i="28"/>
  <c r="BA63" i="28" s="1"/>
  <c r="AW21" i="28"/>
  <c r="BA21" i="28" s="1"/>
  <c r="G19" i="28"/>
  <c r="G18" i="28"/>
  <c r="AW18" i="28" s="1"/>
  <c r="BA18" i="28" s="1"/>
  <c r="G13" i="11"/>
  <c r="G26" i="11" s="1"/>
  <c r="F13" i="11"/>
  <c r="H56" i="19"/>
  <c r="G19" i="19"/>
  <c r="H17" i="19"/>
  <c r="E21" i="11"/>
  <c r="AW21" i="11" s="1"/>
  <c r="BA21" i="11" s="1"/>
  <c r="E41" i="19"/>
  <c r="E19" i="19"/>
  <c r="D57" i="19"/>
  <c r="C57" i="19"/>
  <c r="C41" i="19"/>
  <c r="C18" i="11"/>
  <c r="B18" i="11"/>
  <c r="C13" i="11"/>
  <c r="AW16" i="9"/>
  <c r="BA16" i="9"/>
  <c r="B42" i="26"/>
  <c r="C8" i="23"/>
  <c r="C12" i="22"/>
  <c r="B12" i="22"/>
  <c r="C10" i="6"/>
  <c r="AW10" i="6"/>
  <c r="AE29" i="7"/>
  <c r="AC29" i="7"/>
  <c r="AA29" i="7"/>
  <c r="Y29" i="7"/>
  <c r="W29" i="7"/>
  <c r="U29" i="7"/>
  <c r="S29" i="7"/>
  <c r="Q29" i="7"/>
  <c r="P29" i="7"/>
  <c r="O29" i="7"/>
  <c r="N29" i="7"/>
  <c r="M29" i="7"/>
  <c r="K29" i="7"/>
  <c r="I29" i="7"/>
  <c r="G29" i="7"/>
  <c r="E29" i="7"/>
  <c r="D29" i="7"/>
  <c r="B29" i="7"/>
  <c r="C29" i="7"/>
  <c r="D8" i="19"/>
  <c r="F8" i="19"/>
  <c r="H8" i="19"/>
  <c r="J8" i="19"/>
  <c r="L8" i="19"/>
  <c r="N8" i="19"/>
  <c r="AV8" i="19"/>
  <c r="AT8" i="19"/>
  <c r="AR8" i="19"/>
  <c r="AJ8" i="19"/>
  <c r="AQ40" i="11"/>
  <c r="AG40" i="11"/>
  <c r="AX47" i="28"/>
  <c r="AY47" i="28"/>
  <c r="AU47" i="28"/>
  <c r="AU51" i="28" s="1"/>
  <c r="AS47" i="28"/>
  <c r="AQ47" i="28"/>
  <c r="AO47" i="28"/>
  <c r="AM47" i="28"/>
  <c r="AM51" i="28" s="1"/>
  <c r="AK47" i="28"/>
  <c r="AL50" i="28"/>
  <c r="AL51" i="28"/>
  <c r="AK50" i="28"/>
  <c r="AM50" i="28"/>
  <c r="AO50" i="28"/>
  <c r="AQ50" i="28"/>
  <c r="AK10" i="28"/>
  <c r="AI50" i="28"/>
  <c r="AG50" i="28"/>
  <c r="AE50" i="28"/>
  <c r="AC50" i="28"/>
  <c r="AA50" i="28"/>
  <c r="AI47" i="28"/>
  <c r="AG47" i="28"/>
  <c r="AE47" i="28"/>
  <c r="AC47" i="28"/>
  <c r="AA47" i="28"/>
  <c r="AI10" i="28"/>
  <c r="AG10" i="28"/>
  <c r="AE10" i="28"/>
  <c r="AC10" i="28"/>
  <c r="AA10" i="28"/>
  <c r="Y47" i="28"/>
  <c r="W47" i="28"/>
  <c r="U47" i="28"/>
  <c r="T47" i="28"/>
  <c r="S47" i="28"/>
  <c r="R47" i="28"/>
  <c r="P47" i="28"/>
  <c r="P51" i="28"/>
  <c r="O47" i="28"/>
  <c r="N47" i="28"/>
  <c r="L47" i="28"/>
  <c r="M47" i="28"/>
  <c r="K47" i="28"/>
  <c r="I47" i="28"/>
  <c r="G47" i="28"/>
  <c r="E47" i="28"/>
  <c r="BA27" i="7"/>
  <c r="AZ27" i="7"/>
  <c r="AZ14" i="7"/>
  <c r="BA14" i="7"/>
  <c r="G13" i="26"/>
  <c r="F13" i="26"/>
  <c r="D13" i="26"/>
  <c r="J13" i="26"/>
  <c r="AD13" i="26"/>
  <c r="AC13" i="26"/>
  <c r="AC19" i="26" s="1"/>
  <c r="AC25" i="26" s="1"/>
  <c r="AC32" i="26" s="1"/>
  <c r="AB13" i="26"/>
  <c r="AB19" i="26" s="1"/>
  <c r="AB25" i="26" s="1"/>
  <c r="AB32" i="26" s="1"/>
  <c r="AA13" i="26"/>
  <c r="Z13" i="26"/>
  <c r="Y13" i="26"/>
  <c r="Y25" i="26" s="1"/>
  <c r="Y22" i="26"/>
  <c r="X13" i="26"/>
  <c r="X25" i="26" s="1"/>
  <c r="X22" i="26"/>
  <c r="W13" i="26"/>
  <c r="V13" i="26"/>
  <c r="U13" i="26"/>
  <c r="S13" i="26"/>
  <c r="R13" i="26"/>
  <c r="AN13" i="26"/>
  <c r="AN22" i="26" s="1"/>
  <c r="AY17" i="27"/>
  <c r="AY23" i="27" s="1"/>
  <c r="AX17" i="27"/>
  <c r="AT17" i="27"/>
  <c r="AR17" i="27"/>
  <c r="AR23" i="27" s="1"/>
  <c r="AP17" i="27"/>
  <c r="AN17" i="27"/>
  <c r="AH17" i="27"/>
  <c r="AF17" i="27"/>
  <c r="AD17" i="27"/>
  <c r="AB17" i="27"/>
  <c r="Z17" i="27"/>
  <c r="X17" i="27"/>
  <c r="X23" i="27" s="1"/>
  <c r="V17" i="27"/>
  <c r="V23" i="27" s="1"/>
  <c r="T17" i="27"/>
  <c r="R17" i="27"/>
  <c r="P17" i="27"/>
  <c r="P23" i="27" s="1"/>
  <c r="N17" i="27"/>
  <c r="N23" i="27" s="1"/>
  <c r="L17" i="27"/>
  <c r="J17" i="27"/>
  <c r="H17" i="27"/>
  <c r="H23" i="27" s="1"/>
  <c r="F17" i="27"/>
  <c r="F23" i="27" s="1"/>
  <c r="D17" i="27"/>
  <c r="D23" i="27" s="1"/>
  <c r="B17" i="27"/>
  <c r="AW67" i="28"/>
  <c r="BA67" i="28"/>
  <c r="AV67" i="28"/>
  <c r="AZ67" i="28" s="1"/>
  <c r="AW65" i="28"/>
  <c r="BA65" i="28" s="1"/>
  <c r="AW64" i="28"/>
  <c r="BA64" i="28" s="1"/>
  <c r="AV64" i="28"/>
  <c r="AZ64" i="28" s="1"/>
  <c r="AW62" i="28"/>
  <c r="BA62" i="28" s="1"/>
  <c r="AV62" i="28"/>
  <c r="AZ62" i="28" s="1"/>
  <c r="AW61" i="28"/>
  <c r="BA61" i="28" s="1"/>
  <c r="AV61" i="28"/>
  <c r="AZ61" i="28" s="1"/>
  <c r="AW60" i="28"/>
  <c r="BA60" i="28" s="1"/>
  <c r="AV60" i="28"/>
  <c r="AZ60" i="28" s="1"/>
  <c r="AW59" i="28"/>
  <c r="BA59" i="28" s="1"/>
  <c r="AV59" i="28"/>
  <c r="AZ59" i="28" s="1"/>
  <c r="AW58" i="28"/>
  <c r="BA58" i="28" s="1"/>
  <c r="AV58" i="28"/>
  <c r="AZ58" i="28" s="1"/>
  <c r="AZ57" i="28"/>
  <c r="AW57" i="28"/>
  <c r="BA57" i="28"/>
  <c r="AV57" i="28"/>
  <c r="AU56" i="28"/>
  <c r="AS56" i="28"/>
  <c r="AW56" i="28" s="1"/>
  <c r="BA56" i="28" s="1"/>
  <c r="AR56" i="28"/>
  <c r="AQ56" i="28"/>
  <c r="AP56" i="28"/>
  <c r="AO56" i="28"/>
  <c r="AN56" i="28"/>
  <c r="AW55" i="28"/>
  <c r="BA55" i="28" s="1"/>
  <c r="AV55" i="28"/>
  <c r="AZ55" i="28"/>
  <c r="AW54" i="28"/>
  <c r="BA54" i="28"/>
  <c r="AV54" i="28"/>
  <c r="AZ54" i="28"/>
  <c r="AW53" i="28"/>
  <c r="BA53" i="28" s="1"/>
  <c r="AV53" i="28"/>
  <c r="AZ53" i="28"/>
  <c r="AW52" i="28"/>
  <c r="BA52" i="28"/>
  <c r="AV52" i="28"/>
  <c r="AZ52" i="28"/>
  <c r="AD51" i="28"/>
  <c r="D51" i="28"/>
  <c r="AY50" i="28"/>
  <c r="AY51" i="28"/>
  <c r="AX50" i="28"/>
  <c r="AU50" i="28"/>
  <c r="AT50" i="28"/>
  <c r="AT51" i="28"/>
  <c r="AS50" i="28"/>
  <c r="AB50" i="28"/>
  <c r="AB51" i="28" s="1"/>
  <c r="Z50" i="28"/>
  <c r="Z51" i="28" s="1"/>
  <c r="Y50" i="28"/>
  <c r="X50" i="28"/>
  <c r="X51" i="28"/>
  <c r="W50" i="28"/>
  <c r="V50" i="28"/>
  <c r="V51" i="28" s="1"/>
  <c r="U50" i="28"/>
  <c r="T50" i="28"/>
  <c r="S50" i="28"/>
  <c r="S51" i="28" s="1"/>
  <c r="R50" i="28"/>
  <c r="Q50" i="28"/>
  <c r="Q51" i="28"/>
  <c r="P50" i="28"/>
  <c r="O50" i="28"/>
  <c r="N50" i="28"/>
  <c r="M50" i="28"/>
  <c r="M51" i="28" s="1"/>
  <c r="L50" i="28"/>
  <c r="L51" i="28" s="1"/>
  <c r="K50" i="28"/>
  <c r="J50" i="28"/>
  <c r="J51" i="28" s="1"/>
  <c r="I50" i="28"/>
  <c r="H50" i="28"/>
  <c r="H51" i="28" s="1"/>
  <c r="G50" i="28"/>
  <c r="F50" i="28"/>
  <c r="F51" i="28" s="1"/>
  <c r="E50" i="28"/>
  <c r="C50" i="28"/>
  <c r="B50" i="28"/>
  <c r="AW49" i="28"/>
  <c r="BA49" i="28" s="1"/>
  <c r="AV49" i="28"/>
  <c r="AZ49" i="28"/>
  <c r="AW48" i="28"/>
  <c r="BA48" i="28"/>
  <c r="AV48" i="28"/>
  <c r="AZ48" i="28"/>
  <c r="C47" i="28"/>
  <c r="B47" i="28"/>
  <c r="AW46" i="28"/>
  <c r="BA46" i="28"/>
  <c r="AV46" i="28"/>
  <c r="AZ46" i="28"/>
  <c r="AW45" i="28"/>
  <c r="BA45" i="28"/>
  <c r="AV45" i="28"/>
  <c r="AZ45" i="28" s="1"/>
  <c r="AW44" i="28"/>
  <c r="BA44" i="28"/>
  <c r="AV44" i="28"/>
  <c r="AZ44" i="28"/>
  <c r="AW43" i="28"/>
  <c r="BA43" i="28"/>
  <c r="AV43" i="28"/>
  <c r="AZ43" i="28" s="1"/>
  <c r="AW42" i="28"/>
  <c r="BA42" i="28" s="1"/>
  <c r="AV42" i="28"/>
  <c r="AZ42" i="28"/>
  <c r="AW41" i="28"/>
  <c r="BA41" i="28"/>
  <c r="AV41" i="28"/>
  <c r="AZ41" i="28"/>
  <c r="AW40" i="28"/>
  <c r="BA40" i="28" s="1"/>
  <c r="AV40" i="28"/>
  <c r="AZ40" i="28"/>
  <c r="AW39" i="28"/>
  <c r="BA39" i="28"/>
  <c r="AV39" i="28"/>
  <c r="AZ39" i="28"/>
  <c r="AW38" i="28"/>
  <c r="BA38" i="28" s="1"/>
  <c r="AV38" i="28"/>
  <c r="AZ38" i="28"/>
  <c r="AW37" i="28"/>
  <c r="BA37" i="28"/>
  <c r="AV37" i="28"/>
  <c r="AZ37" i="28" s="1"/>
  <c r="AW36" i="28"/>
  <c r="BA36" i="28" s="1"/>
  <c r="AV36" i="28"/>
  <c r="AZ36" i="28" s="1"/>
  <c r="AW35" i="28"/>
  <c r="BA35" i="28"/>
  <c r="AV35" i="28"/>
  <c r="AZ35" i="28" s="1"/>
  <c r="AW34" i="28"/>
  <c r="BA34" i="28" s="1"/>
  <c r="AV34" i="28"/>
  <c r="AZ34" i="28"/>
  <c r="AW33" i="28"/>
  <c r="BA33" i="28"/>
  <c r="AV33" i="28"/>
  <c r="AZ33" i="28" s="1"/>
  <c r="AW32" i="28"/>
  <c r="BA32" i="28" s="1"/>
  <c r="AV32" i="28"/>
  <c r="AZ32" i="28"/>
  <c r="AW31" i="28"/>
  <c r="BA31" i="28"/>
  <c r="AV31" i="28"/>
  <c r="AZ31" i="28" s="1"/>
  <c r="AV30" i="28"/>
  <c r="AZ30" i="28" s="1"/>
  <c r="AW30" i="28"/>
  <c r="BA30" i="28"/>
  <c r="AW29" i="28"/>
  <c r="BA29" i="28"/>
  <c r="AV29" i="28"/>
  <c r="AZ29" i="28" s="1"/>
  <c r="AW28" i="28"/>
  <c r="BA28" i="28" s="1"/>
  <c r="AV28" i="28"/>
  <c r="AZ28" i="28"/>
  <c r="AV27" i="28"/>
  <c r="AZ27" i="28"/>
  <c r="AZ26" i="28"/>
  <c r="AW26" i="28"/>
  <c r="BA26" i="28" s="1"/>
  <c r="AV26" i="28"/>
  <c r="AW25" i="28"/>
  <c r="BA25" i="28"/>
  <c r="AV25" i="28"/>
  <c r="AZ25" i="28"/>
  <c r="AW24" i="28"/>
  <c r="BA24" i="28" s="1"/>
  <c r="AV24" i="28"/>
  <c r="AZ24" i="28" s="1"/>
  <c r="AV23" i="28"/>
  <c r="AZ23" i="28"/>
  <c r="AW22" i="28"/>
  <c r="BA22" i="28"/>
  <c r="AV22" i="28"/>
  <c r="AZ22" i="28" s="1"/>
  <c r="AV21" i="28"/>
  <c r="AZ21" i="28" s="1"/>
  <c r="AW20" i="28"/>
  <c r="BA20" i="28"/>
  <c r="AV20" i="28"/>
  <c r="AZ20" i="28"/>
  <c r="AV19" i="28"/>
  <c r="AZ19" i="28"/>
  <c r="AW17" i="28"/>
  <c r="BA17" i="28" s="1"/>
  <c r="AV17" i="28"/>
  <c r="AZ17" i="28"/>
  <c r="AW16" i="28"/>
  <c r="BA16" i="28"/>
  <c r="AV16" i="28"/>
  <c r="AZ16" i="28" s="1"/>
  <c r="AW15" i="28"/>
  <c r="BA15" i="28" s="1"/>
  <c r="AV15" i="28"/>
  <c r="AZ15" i="28"/>
  <c r="AW14" i="28"/>
  <c r="BA14" i="28"/>
  <c r="AV14" i="28"/>
  <c r="AZ14" i="28" s="1"/>
  <c r="AW13" i="28"/>
  <c r="BA13" i="28" s="1"/>
  <c r="AV13" i="28"/>
  <c r="AZ13" i="28"/>
  <c r="AW12" i="28"/>
  <c r="BA12" i="28"/>
  <c r="AV12" i="28"/>
  <c r="AZ12" i="28" s="1"/>
  <c r="AW11" i="28"/>
  <c r="BA11" i="28" s="1"/>
  <c r="AV11" i="28"/>
  <c r="AZ11" i="28"/>
  <c r="AY10" i="28"/>
  <c r="AX10" i="28"/>
  <c r="AT10" i="28"/>
  <c r="AS10" i="28"/>
  <c r="AR10" i="28"/>
  <c r="AQ10" i="28"/>
  <c r="AP10" i="28"/>
  <c r="AO10" i="28"/>
  <c r="AN10" i="28"/>
  <c r="AM10" i="28"/>
  <c r="AJ10" i="28"/>
  <c r="AH10" i="28"/>
  <c r="AD10" i="28"/>
  <c r="AB10" i="28"/>
  <c r="Z10" i="28"/>
  <c r="Y10" i="28"/>
  <c r="X10" i="28"/>
  <c r="W10" i="28"/>
  <c r="V10" i="28"/>
  <c r="U10" i="28"/>
  <c r="T10" i="28"/>
  <c r="S10" i="28"/>
  <c r="R10" i="28"/>
  <c r="Q10" i="28"/>
  <c r="O10" i="28"/>
  <c r="N10" i="28"/>
  <c r="M10" i="28"/>
  <c r="L10" i="28"/>
  <c r="K10" i="28"/>
  <c r="J10" i="28"/>
  <c r="I10" i="28"/>
  <c r="H10" i="28"/>
  <c r="G10" i="28"/>
  <c r="E10" i="28"/>
  <c r="D10" i="28"/>
  <c r="C10" i="28"/>
  <c r="AW8" i="28"/>
  <c r="BA8" i="28" s="1"/>
  <c r="AV8" i="28"/>
  <c r="AZ8" i="28"/>
  <c r="AW7" i="28"/>
  <c r="BA7" i="28"/>
  <c r="AV7" i="28"/>
  <c r="AZ7" i="28"/>
  <c r="AW6" i="28"/>
  <c r="BA6" i="28" s="1"/>
  <c r="AV6" i="28"/>
  <c r="AZ6" i="28"/>
  <c r="AU10" i="28"/>
  <c r="AF10" i="28"/>
  <c r="AW5" i="28"/>
  <c r="BA5" i="28"/>
  <c r="P10" i="28"/>
  <c r="F5" i="28"/>
  <c r="F10" i="28"/>
  <c r="B5" i="28"/>
  <c r="AW29" i="27"/>
  <c r="BA29" i="27"/>
  <c r="AV29" i="27"/>
  <c r="AZ29" i="27" s="1"/>
  <c r="AW28" i="27"/>
  <c r="BA28" i="27" s="1"/>
  <c r="AV28" i="27"/>
  <c r="AZ28" i="27"/>
  <c r="AW27" i="27"/>
  <c r="BA27" i="27"/>
  <c r="AV27" i="27"/>
  <c r="AZ27" i="27"/>
  <c r="AV26" i="27"/>
  <c r="AZ26" i="27" s="1"/>
  <c r="AW26" i="27"/>
  <c r="BA26" i="27"/>
  <c r="AW25" i="27"/>
  <c r="BA25" i="27"/>
  <c r="AV25" i="27"/>
  <c r="AZ25" i="27"/>
  <c r="AW24" i="27"/>
  <c r="BA24" i="27" s="1"/>
  <c r="AV24" i="27"/>
  <c r="AZ24" i="27"/>
  <c r="AW22" i="27"/>
  <c r="BA22" i="27"/>
  <c r="AV22" i="27"/>
  <c r="AZ22" i="27"/>
  <c r="AW20" i="27"/>
  <c r="BA20" i="27" s="1"/>
  <c r="AV20" i="27"/>
  <c r="AZ20" i="27"/>
  <c r="AW19" i="27"/>
  <c r="BA19" i="27"/>
  <c r="AV19" i="27"/>
  <c r="AZ19" i="27" s="1"/>
  <c r="AW18" i="27"/>
  <c r="BA18" i="27" s="1"/>
  <c r="AV18" i="27"/>
  <c r="AZ18" i="27"/>
  <c r="AU17" i="27"/>
  <c r="AU23" i="27"/>
  <c r="AS17" i="27"/>
  <c r="AS23" i="27" s="1"/>
  <c r="AQ17" i="27"/>
  <c r="AQ21" i="27"/>
  <c r="AO17" i="27"/>
  <c r="AM17" i="27"/>
  <c r="AK17" i="27"/>
  <c r="AI17" i="27"/>
  <c r="AG17" i="27"/>
  <c r="AE17" i="27"/>
  <c r="AC17" i="27"/>
  <c r="AA17" i="27"/>
  <c r="AA21" i="27"/>
  <c r="Y17" i="27"/>
  <c r="Y23" i="27" s="1"/>
  <c r="W17" i="27"/>
  <c r="W23" i="27" s="1"/>
  <c r="U17" i="27"/>
  <c r="U21" i="27"/>
  <c r="S17" i="27"/>
  <c r="S23" i="27" s="1"/>
  <c r="Q17" i="27"/>
  <c r="Q21" i="27"/>
  <c r="O17" i="27"/>
  <c r="O23" i="27"/>
  <c r="M17" i="27"/>
  <c r="M23" i="27" s="1"/>
  <c r="K17" i="27"/>
  <c r="K23" i="27" s="1"/>
  <c r="I17" i="27"/>
  <c r="I23" i="27"/>
  <c r="G17" i="27"/>
  <c r="G23" i="27"/>
  <c r="E17" i="27"/>
  <c r="E21" i="27"/>
  <c r="C17" i="27"/>
  <c r="AW16" i="27"/>
  <c r="BA16" i="27"/>
  <c r="AV16" i="27"/>
  <c r="AZ16" i="27" s="1"/>
  <c r="AW13" i="27"/>
  <c r="BA13" i="27" s="1"/>
  <c r="AV13" i="27"/>
  <c r="AZ13" i="27" s="1"/>
  <c r="AW12" i="27"/>
  <c r="BA12" i="27"/>
  <c r="AV12" i="27"/>
  <c r="AZ12" i="27" s="1"/>
  <c r="AW11" i="27"/>
  <c r="BA11" i="27"/>
  <c r="AV11" i="27"/>
  <c r="AZ11" i="27" s="1"/>
  <c r="AW10" i="27"/>
  <c r="BA10" i="27"/>
  <c r="AV10" i="27"/>
  <c r="AZ10" i="27" s="1"/>
  <c r="AW9" i="27"/>
  <c r="BA9" i="27"/>
  <c r="AV9" i="27"/>
  <c r="AZ9" i="27" s="1"/>
  <c r="AW8" i="27"/>
  <c r="BA8" i="27"/>
  <c r="AV8" i="27"/>
  <c r="AZ8" i="27" s="1"/>
  <c r="AW7" i="27"/>
  <c r="BA7" i="27"/>
  <c r="AV7" i="27"/>
  <c r="AZ7" i="27" s="1"/>
  <c r="AW6" i="27"/>
  <c r="BA6" i="27"/>
  <c r="AV6" i="27"/>
  <c r="AZ6" i="27" s="1"/>
  <c r="AW5" i="27"/>
  <c r="BA5" i="27" s="1"/>
  <c r="AV5" i="27"/>
  <c r="AZ5" i="27" s="1"/>
  <c r="AW4" i="27"/>
  <c r="BA4" i="27"/>
  <c r="AV4" i="27"/>
  <c r="AZ4" i="27" s="1"/>
  <c r="AW3" i="27"/>
  <c r="BA3" i="27" s="1"/>
  <c r="AV3" i="27"/>
  <c r="AZ3" i="27" s="1"/>
  <c r="AS42" i="26"/>
  <c r="AQ42" i="26"/>
  <c r="AO42" i="26"/>
  <c r="AM42" i="26"/>
  <c r="AI42" i="26"/>
  <c r="AG42" i="26"/>
  <c r="AE42" i="26"/>
  <c r="AC42" i="26"/>
  <c r="AA42" i="26"/>
  <c r="Y42" i="26"/>
  <c r="U42" i="26"/>
  <c r="S42" i="26"/>
  <c r="Q42" i="26"/>
  <c r="O42" i="26"/>
  <c r="M42" i="26"/>
  <c r="I42" i="26"/>
  <c r="G42" i="26"/>
  <c r="C42" i="26"/>
  <c r="BA41" i="26"/>
  <c r="AZ41" i="26"/>
  <c r="BA39" i="26"/>
  <c r="AZ39" i="26"/>
  <c r="AU38" i="26"/>
  <c r="AU42" i="26" s="1"/>
  <c r="K42" i="26"/>
  <c r="BA37" i="26"/>
  <c r="AZ37" i="26"/>
  <c r="BA35" i="26"/>
  <c r="AZ35" i="26"/>
  <c r="AW34" i="26"/>
  <c r="BA34" i="26" s="1"/>
  <c r="AV34" i="26"/>
  <c r="AZ34" i="26"/>
  <c r="AU32" i="26"/>
  <c r="AT32" i="26"/>
  <c r="AR32" i="26"/>
  <c r="AQ32" i="26"/>
  <c r="AJ32" i="26"/>
  <c r="O32" i="26"/>
  <c r="N32" i="26"/>
  <c r="K32" i="26"/>
  <c r="B32" i="26"/>
  <c r="BA31" i="26"/>
  <c r="AZ31" i="26"/>
  <c r="BA30" i="26"/>
  <c r="AZ30" i="26"/>
  <c r="BA29" i="26"/>
  <c r="AZ29" i="26"/>
  <c r="BA27" i="26"/>
  <c r="AZ27" i="26"/>
  <c r="BA26" i="26"/>
  <c r="AZ26" i="26"/>
  <c r="AU25" i="26"/>
  <c r="AT25" i="26"/>
  <c r="AR25" i="26"/>
  <c r="AQ25" i="26"/>
  <c r="AP32" i="26"/>
  <c r="AP42" i="26" s="1"/>
  <c r="AJ25" i="26"/>
  <c r="N25" i="26"/>
  <c r="L25" i="26"/>
  <c r="K25" i="26"/>
  <c r="C25" i="26"/>
  <c r="C32" i="26"/>
  <c r="B25" i="26"/>
  <c r="AU22" i="26"/>
  <c r="AT22" i="26"/>
  <c r="AR22" i="26"/>
  <c r="AQ22" i="26"/>
  <c r="AJ22" i="26"/>
  <c r="AH42" i="26"/>
  <c r="N22" i="26"/>
  <c r="L22" i="26"/>
  <c r="L32" i="26" s="1"/>
  <c r="L42" i="26"/>
  <c r="K22" i="26"/>
  <c r="C22" i="26"/>
  <c r="B22" i="26"/>
  <c r="AZ21" i="26"/>
  <c r="AZ20" i="26"/>
  <c r="AU19" i="26"/>
  <c r="AT19" i="26"/>
  <c r="AT42" i="26"/>
  <c r="AR19" i="26"/>
  <c r="AQ19" i="26"/>
  <c r="AJ19" i="26"/>
  <c r="Q19" i="26"/>
  <c r="P19" i="26"/>
  <c r="N19" i="26"/>
  <c r="N42" i="26" s="1"/>
  <c r="L19" i="26"/>
  <c r="K19" i="26"/>
  <c r="I19" i="26"/>
  <c r="I22" i="26" s="1"/>
  <c r="I25" i="26" s="1"/>
  <c r="C19" i="26"/>
  <c r="B19" i="26"/>
  <c r="BA18" i="26"/>
  <c r="AZ18" i="26"/>
  <c r="BA15" i="26"/>
  <c r="AZ15" i="26"/>
  <c r="AU13" i="26"/>
  <c r="AT13" i="26"/>
  <c r="AT38" i="26"/>
  <c r="AV38" i="26"/>
  <c r="AZ38" i="26" s="1"/>
  <c r="AS13" i="26"/>
  <c r="AS19" i="26" s="1"/>
  <c r="AR13" i="26"/>
  <c r="AQ13" i="26"/>
  <c r="AP13" i="26"/>
  <c r="AO13" i="26"/>
  <c r="AO22" i="26" s="1"/>
  <c r="AK13" i="26"/>
  <c r="AK19" i="26"/>
  <c r="AJ13" i="26"/>
  <c r="AI13" i="26"/>
  <c r="AH13" i="26"/>
  <c r="AF13" i="26"/>
  <c r="AE13" i="26"/>
  <c r="AD42" i="26"/>
  <c r="O13" i="26"/>
  <c r="O19" i="26"/>
  <c r="N13" i="26"/>
  <c r="M13" i="26"/>
  <c r="L13" i="26"/>
  <c r="K13" i="26"/>
  <c r="I13" i="26"/>
  <c r="H13" i="26"/>
  <c r="H19" i="26"/>
  <c r="E13" i="26"/>
  <c r="C13" i="26"/>
  <c r="B13" i="26"/>
  <c r="BA12" i="26"/>
  <c r="AZ12" i="26"/>
  <c r="BA11" i="26"/>
  <c r="AZ11" i="26"/>
  <c r="AZ10" i="26"/>
  <c r="BA10" i="26"/>
  <c r="AX13" i="26"/>
  <c r="AW9" i="26"/>
  <c r="BA9" i="26"/>
  <c r="AV9" i="26"/>
  <c r="AZ9" i="26" s="1"/>
  <c r="BA7" i="26"/>
  <c r="AZ7" i="26"/>
  <c r="BA6" i="26"/>
  <c r="AZ6" i="26"/>
  <c r="AO51" i="28"/>
  <c r="C51" i="28"/>
  <c r="G21" i="27"/>
  <c r="AQ23" i="27"/>
  <c r="Q23" i="27"/>
  <c r="AA23" i="27"/>
  <c r="I21" i="27"/>
  <c r="AU21" i="27"/>
  <c r="M21" i="27"/>
  <c r="O21" i="27"/>
  <c r="U23" i="27"/>
  <c r="AF42" i="26"/>
  <c r="AY13" i="26"/>
  <c r="AY22" i="26"/>
  <c r="AY32" i="26" s="1"/>
  <c r="AW8" i="19"/>
  <c r="AU8" i="19"/>
  <c r="AS8" i="19"/>
  <c r="AQ8" i="19"/>
  <c r="AO8" i="19"/>
  <c r="AK8" i="19"/>
  <c r="AB8" i="23"/>
  <c r="AB26" i="11"/>
  <c r="AC8" i="19"/>
  <c r="X8" i="23"/>
  <c r="S8" i="19"/>
  <c r="L32" i="11"/>
  <c r="L40" i="11" s="1"/>
  <c r="AV40" i="11" s="1"/>
  <c r="M8" i="19"/>
  <c r="X11" i="2"/>
  <c r="X11" i="1"/>
  <c r="J40" i="11"/>
  <c r="K8" i="19"/>
  <c r="I8" i="19"/>
  <c r="B8" i="23"/>
  <c r="B24" i="8"/>
  <c r="AV24" i="8" s="1"/>
  <c r="AZ24" i="8" s="1"/>
  <c r="C8" i="19"/>
  <c r="AI8" i="19"/>
  <c r="T8" i="23"/>
  <c r="U57" i="19"/>
  <c r="U8" i="19"/>
  <c r="P32" i="11"/>
  <c r="AF14" i="22"/>
  <c r="D8" i="23"/>
  <c r="AV16" i="6"/>
  <c r="AZ16" i="6"/>
  <c r="AW5" i="23"/>
  <c r="AW6" i="23"/>
  <c r="AW7" i="23"/>
  <c r="AW4" i="23"/>
  <c r="BA4" i="23" s="1"/>
  <c r="AV5" i="23"/>
  <c r="AZ5" i="23" s="1"/>
  <c r="AV6" i="23"/>
  <c r="AZ6" i="23"/>
  <c r="AV7" i="23"/>
  <c r="AZ7" i="23"/>
  <c r="AV4" i="23"/>
  <c r="AZ4" i="23" s="1"/>
  <c r="AN15" i="7"/>
  <c r="AL15" i="7"/>
  <c r="AW7" i="22"/>
  <c r="BA7" i="22"/>
  <c r="AS14" i="22"/>
  <c r="AE14" i="22"/>
  <c r="Q14" i="22"/>
  <c r="BA10" i="6"/>
  <c r="AW22" i="6"/>
  <c r="BA22" i="6" s="1"/>
  <c r="AW11" i="8"/>
  <c r="BA11" i="8"/>
  <c r="AW31" i="8"/>
  <c r="BA31" i="8"/>
  <c r="AW9" i="8"/>
  <c r="BA9" i="8"/>
  <c r="AX8" i="19"/>
  <c r="AY10" i="7"/>
  <c r="AY15" i="7"/>
  <c r="BA15" i="7"/>
  <c r="U38" i="8"/>
  <c r="AW12" i="8"/>
  <c r="BA12" i="8"/>
  <c r="AU26" i="11"/>
  <c r="AK26" i="11"/>
  <c r="AI26" i="11"/>
  <c r="AG26" i="11"/>
  <c r="AC26" i="11"/>
  <c r="AA26" i="11"/>
  <c r="AA12" i="11"/>
  <c r="Y26" i="11"/>
  <c r="U26" i="11"/>
  <c r="O26" i="11"/>
  <c r="AP8" i="19"/>
  <c r="AL8" i="19"/>
  <c r="AH8" i="19"/>
  <c r="AF8" i="19"/>
  <c r="AD8" i="19"/>
  <c r="AB8" i="19"/>
  <c r="Z8" i="19"/>
  <c r="X8" i="19"/>
  <c r="V8" i="19"/>
  <c r="T8" i="19"/>
  <c r="R8" i="19"/>
  <c r="P8" i="19"/>
  <c r="M14" i="22"/>
  <c r="AW8" i="8"/>
  <c r="BA8" i="8"/>
  <c r="C38" i="8"/>
  <c r="AW13" i="22"/>
  <c r="BA13" i="22"/>
  <c r="AW19" i="3"/>
  <c r="BA19" i="3" s="1"/>
  <c r="AV6" i="3"/>
  <c r="AZ6" i="3"/>
  <c r="AW6" i="3"/>
  <c r="BA6" i="3" s="1"/>
  <c r="AV7" i="3"/>
  <c r="AZ7" i="3"/>
  <c r="AW7" i="3"/>
  <c r="BA7" i="3" s="1"/>
  <c r="AV8" i="3"/>
  <c r="AZ8" i="3"/>
  <c r="AW8" i="3"/>
  <c r="BA8" i="3" s="1"/>
  <c r="AV9" i="3"/>
  <c r="AZ9" i="3"/>
  <c r="AW9" i="3"/>
  <c r="BA9" i="3" s="1"/>
  <c r="AV10" i="3"/>
  <c r="AZ10" i="3"/>
  <c r="AW10" i="3"/>
  <c r="BA10" i="3" s="1"/>
  <c r="AV11" i="3"/>
  <c r="AZ11" i="3"/>
  <c r="AW11" i="3"/>
  <c r="BA11" i="3" s="1"/>
  <c r="AV14" i="3"/>
  <c r="AZ14" i="3"/>
  <c r="AW14" i="3"/>
  <c r="BA14" i="3" s="1"/>
  <c r="AV15" i="3"/>
  <c r="AZ15" i="3" s="1"/>
  <c r="AW15" i="3"/>
  <c r="BA15" i="3" s="1"/>
  <c r="AV16" i="3"/>
  <c r="AZ16" i="3" s="1"/>
  <c r="AW16" i="3"/>
  <c r="BA16" i="3" s="1"/>
  <c r="AV17" i="3"/>
  <c r="AZ17" i="3" s="1"/>
  <c r="AW17" i="3"/>
  <c r="BA17" i="3" s="1"/>
  <c r="AW5" i="3"/>
  <c r="BA5" i="3" s="1"/>
  <c r="AV6" i="4"/>
  <c r="AZ6" i="4" s="1"/>
  <c r="AW6" i="4"/>
  <c r="BA6" i="4" s="1"/>
  <c r="AV7" i="4"/>
  <c r="AZ7" i="4" s="1"/>
  <c r="AW7" i="4"/>
  <c r="BA7" i="4" s="1"/>
  <c r="AV8" i="4"/>
  <c r="AZ8" i="4" s="1"/>
  <c r="AW8" i="4"/>
  <c r="BA8" i="4" s="1"/>
  <c r="AV9" i="4"/>
  <c r="AZ9" i="4" s="1"/>
  <c r="AW9" i="4"/>
  <c r="BA9" i="4" s="1"/>
  <c r="AV10" i="4"/>
  <c r="AZ10" i="4" s="1"/>
  <c r="AW10" i="4"/>
  <c r="BA10" i="4" s="1"/>
  <c r="AV11" i="4"/>
  <c r="AZ11" i="4" s="1"/>
  <c r="AW11" i="4"/>
  <c r="BA11" i="4" s="1"/>
  <c r="AV14" i="4"/>
  <c r="AZ14" i="4" s="1"/>
  <c r="AW14" i="4"/>
  <c r="BA14" i="4" s="1"/>
  <c r="AV15" i="4"/>
  <c r="AZ15" i="4" s="1"/>
  <c r="AW15" i="4"/>
  <c r="BA15" i="4" s="1"/>
  <c r="AV16" i="4"/>
  <c r="AZ16" i="4" s="1"/>
  <c r="AW16" i="4"/>
  <c r="BA16" i="4" s="1"/>
  <c r="AV17" i="4"/>
  <c r="AZ17" i="4" s="1"/>
  <c r="AW17" i="4"/>
  <c r="BA17" i="4" s="1"/>
  <c r="AW5" i="4"/>
  <c r="BA5" i="4" s="1"/>
  <c r="AV13" i="1"/>
  <c r="AZ13" i="1" s="1"/>
  <c r="AW13" i="1"/>
  <c r="BA13" i="1" s="1"/>
  <c r="AW5" i="1"/>
  <c r="BA5" i="1" s="1"/>
  <c r="AW6" i="1"/>
  <c r="BA6" i="1" s="1"/>
  <c r="AW7" i="1"/>
  <c r="BA7" i="1" s="1"/>
  <c r="AW8" i="1"/>
  <c r="BA8" i="1" s="1"/>
  <c r="AW9" i="1"/>
  <c r="BA9" i="1" s="1"/>
  <c r="AW10" i="1"/>
  <c r="BA10" i="1" s="1"/>
  <c r="AW11" i="1"/>
  <c r="BA11" i="1" s="1"/>
  <c r="AV6" i="1"/>
  <c r="AZ6" i="1" s="1"/>
  <c r="AV7" i="1"/>
  <c r="AZ7" i="1" s="1"/>
  <c r="AV8" i="1"/>
  <c r="AZ8" i="1" s="1"/>
  <c r="AV9" i="1"/>
  <c r="AZ9" i="1" s="1"/>
  <c r="AV10" i="1"/>
  <c r="AZ10" i="1" s="1"/>
  <c r="AV11" i="1"/>
  <c r="AZ11" i="1" s="1"/>
  <c r="Y38" i="8"/>
  <c r="AV28" i="8"/>
  <c r="AZ28" i="8"/>
  <c r="AW33" i="8"/>
  <c r="BA33" i="8"/>
  <c r="AM8" i="19"/>
  <c r="AN8" i="19"/>
  <c r="AS40" i="11"/>
  <c r="AF12" i="11"/>
  <c r="U40" i="11"/>
  <c r="T40" i="11"/>
  <c r="S40" i="11"/>
  <c r="L26" i="11"/>
  <c r="AW6" i="9"/>
  <c r="BA6" i="9"/>
  <c r="AW7" i="9"/>
  <c r="BA7" i="9"/>
  <c r="AW8" i="9"/>
  <c r="BA8" i="9"/>
  <c r="AW9" i="9"/>
  <c r="BA9" i="9"/>
  <c r="AW10" i="9"/>
  <c r="BA10" i="9"/>
  <c r="AW11" i="9"/>
  <c r="BA11" i="9" s="1"/>
  <c r="AW12" i="9"/>
  <c r="BA12" i="9"/>
  <c r="AW13" i="9"/>
  <c r="BA13" i="9"/>
  <c r="AW14" i="9"/>
  <c r="BA14" i="9"/>
  <c r="AW15" i="9"/>
  <c r="BA15" i="9" s="1"/>
  <c r="AW5" i="9"/>
  <c r="BA5" i="9"/>
  <c r="AT34" i="6"/>
  <c r="AT36" i="6"/>
  <c r="AT38" i="6" s="1"/>
  <c r="AY14" i="22"/>
  <c r="AQ14" i="22"/>
  <c r="AP14" i="22"/>
  <c r="AW8" i="22"/>
  <c r="BA8" i="22"/>
  <c r="AW9" i="22"/>
  <c r="BA9" i="22"/>
  <c r="AW10" i="22"/>
  <c r="BA10" i="22"/>
  <c r="AW11" i="22"/>
  <c r="BA11" i="22"/>
  <c r="AV5" i="22"/>
  <c r="AZ5" i="22"/>
  <c r="AV7" i="22"/>
  <c r="AZ7" i="22"/>
  <c r="AV8" i="22"/>
  <c r="AZ8" i="22" s="1"/>
  <c r="AV9" i="22"/>
  <c r="AZ9" i="22"/>
  <c r="AV10" i="22"/>
  <c r="AZ10" i="22"/>
  <c r="AV11" i="22"/>
  <c r="AZ11" i="22"/>
  <c r="AV13" i="22"/>
  <c r="AZ13" i="22" s="1"/>
  <c r="AW4" i="22"/>
  <c r="BA4" i="22"/>
  <c r="AV4" i="22"/>
  <c r="AZ4" i="22"/>
  <c r="AO14" i="22"/>
  <c r="AR14" i="22"/>
  <c r="AH14" i="22"/>
  <c r="AI14" i="22"/>
  <c r="AJ14" i="22"/>
  <c r="AK14" i="22"/>
  <c r="AL14" i="22"/>
  <c r="AM14" i="22"/>
  <c r="AN14" i="22"/>
  <c r="Y14" i="22"/>
  <c r="Z14" i="22"/>
  <c r="AA14" i="22"/>
  <c r="AB14" i="22"/>
  <c r="AC14" i="22"/>
  <c r="AD14" i="22"/>
  <c r="W14" i="22"/>
  <c r="X14" i="22"/>
  <c r="R14" i="22"/>
  <c r="S14" i="22"/>
  <c r="T14" i="22"/>
  <c r="U14" i="22"/>
  <c r="K14" i="22"/>
  <c r="L14" i="22"/>
  <c r="N14" i="22"/>
  <c r="O14" i="22"/>
  <c r="P14" i="22"/>
  <c r="I14" i="22"/>
  <c r="G14" i="22"/>
  <c r="E14" i="22"/>
  <c r="AU14" i="22"/>
  <c r="AX12" i="1"/>
  <c r="AX14" i="1" s="1"/>
  <c r="AV5" i="1"/>
  <c r="AZ5" i="1" s="1"/>
  <c r="AY13" i="7"/>
  <c r="AX10" i="7"/>
  <c r="AX13" i="7" s="1"/>
  <c r="AU10" i="7"/>
  <c r="AU15" i="7" s="1"/>
  <c r="AT10" i="7"/>
  <c r="AT13" i="7"/>
  <c r="AT15" i="7" s="1"/>
  <c r="AS10" i="7"/>
  <c r="AR10" i="7"/>
  <c r="AR13" i="7" s="1"/>
  <c r="AR15" i="7"/>
  <c r="AQ10" i="7"/>
  <c r="AQ15" i="7"/>
  <c r="AP10" i="7"/>
  <c r="AP13" i="7"/>
  <c r="AO10" i="7"/>
  <c r="AO15" i="7"/>
  <c r="AN10" i="7"/>
  <c r="AM10" i="7"/>
  <c r="AM15" i="7" s="1"/>
  <c r="AL10" i="7"/>
  <c r="AK10" i="7"/>
  <c r="AK15" i="7"/>
  <c r="AJ10" i="7"/>
  <c r="AI10" i="7"/>
  <c r="AI15" i="7"/>
  <c r="AH10" i="7"/>
  <c r="AG10" i="7"/>
  <c r="AG15" i="7" s="1"/>
  <c r="AF10" i="7"/>
  <c r="AF13" i="7" s="1"/>
  <c r="AF15" i="7" s="1"/>
  <c r="AE10" i="7"/>
  <c r="AE15" i="7"/>
  <c r="AD10" i="7"/>
  <c r="AD13" i="7"/>
  <c r="AC10" i="7"/>
  <c r="AC15" i="7"/>
  <c r="AB10" i="7"/>
  <c r="AB13" i="7"/>
  <c r="AB15" i="7" s="1"/>
  <c r="AA10" i="7"/>
  <c r="AA15" i="7" s="1"/>
  <c r="Z10" i="7"/>
  <c r="Y10" i="7"/>
  <c r="X10" i="7"/>
  <c r="X13" i="7"/>
  <c r="X15" i="7"/>
  <c r="W10" i="7"/>
  <c r="V10" i="7"/>
  <c r="V13" i="7" s="1"/>
  <c r="U10" i="7"/>
  <c r="U15" i="7" s="1"/>
  <c r="T10" i="7"/>
  <c r="T13" i="7" s="1"/>
  <c r="S10" i="7"/>
  <c r="R10" i="7"/>
  <c r="Q10" i="7"/>
  <c r="Q15" i="7" s="1"/>
  <c r="P10" i="7"/>
  <c r="P13" i="7" s="1"/>
  <c r="P15" i="7"/>
  <c r="O10" i="7"/>
  <c r="O15" i="7" s="1"/>
  <c r="N10" i="7"/>
  <c r="N13" i="7"/>
  <c r="N15" i="7" s="1"/>
  <c r="M10" i="7"/>
  <c r="L10" i="7"/>
  <c r="K10" i="7"/>
  <c r="K13" i="7"/>
  <c r="J10" i="7"/>
  <c r="J13" i="7" s="1"/>
  <c r="J15" i="7" s="1"/>
  <c r="I10" i="7"/>
  <c r="I13" i="7"/>
  <c r="H10" i="7"/>
  <c r="H13" i="7"/>
  <c r="H15" i="7" s="1"/>
  <c r="G10" i="7"/>
  <c r="G15" i="7" s="1"/>
  <c r="F10" i="7"/>
  <c r="F13" i="7" s="1"/>
  <c r="E10" i="7"/>
  <c r="D10" i="7"/>
  <c r="D13" i="7"/>
  <c r="D15" i="7" s="1"/>
  <c r="C10" i="7"/>
  <c r="C15" i="7" s="1"/>
  <c r="B10" i="7"/>
  <c r="B13" i="7" s="1"/>
  <c r="B15" i="7"/>
  <c r="AV8" i="5"/>
  <c r="AZ8" i="5"/>
  <c r="AV9" i="5"/>
  <c r="AZ9" i="5" s="1"/>
  <c r="AV7" i="5"/>
  <c r="AZ7" i="5"/>
  <c r="AY14" i="5"/>
  <c r="AX10" i="5"/>
  <c r="AX14" i="5" s="1"/>
  <c r="C10" i="5"/>
  <c r="C14" i="5"/>
  <c r="D10" i="5"/>
  <c r="D14" i="5"/>
  <c r="E10" i="5"/>
  <c r="E12" i="5"/>
  <c r="F10" i="5"/>
  <c r="F14" i="5"/>
  <c r="G10" i="5"/>
  <c r="G12" i="5"/>
  <c r="H10" i="5"/>
  <c r="H12" i="5"/>
  <c r="I10" i="5"/>
  <c r="J10" i="5"/>
  <c r="J12" i="5" s="1"/>
  <c r="K10" i="5"/>
  <c r="K12" i="5"/>
  <c r="L10" i="5"/>
  <c r="L14" i="5" s="1"/>
  <c r="M10" i="5"/>
  <c r="N10" i="5"/>
  <c r="N12" i="5"/>
  <c r="O10" i="5"/>
  <c r="O12" i="5"/>
  <c r="P10" i="5"/>
  <c r="P14" i="5"/>
  <c r="Q10" i="5"/>
  <c r="Q14" i="5"/>
  <c r="R10" i="5"/>
  <c r="R12" i="5"/>
  <c r="S10" i="5"/>
  <c r="S12" i="5"/>
  <c r="T10" i="5"/>
  <c r="T14" i="5"/>
  <c r="U10" i="5"/>
  <c r="U14" i="5"/>
  <c r="V10" i="5"/>
  <c r="V14" i="5"/>
  <c r="W10" i="5"/>
  <c r="W14" i="5"/>
  <c r="X10" i="5"/>
  <c r="X12" i="5"/>
  <c r="Y10" i="5"/>
  <c r="Y12" i="5"/>
  <c r="Z10" i="5"/>
  <c r="Z14" i="5"/>
  <c r="AA10" i="5"/>
  <c r="AA14" i="5"/>
  <c r="AB10" i="5"/>
  <c r="AB14" i="5"/>
  <c r="AC10" i="5"/>
  <c r="AC14" i="5"/>
  <c r="AD10" i="5"/>
  <c r="AD12" i="5"/>
  <c r="AE10" i="5"/>
  <c r="AE12" i="5"/>
  <c r="AF10" i="5"/>
  <c r="AF12" i="5"/>
  <c r="AG10" i="5"/>
  <c r="AG12" i="5"/>
  <c r="AH10" i="5"/>
  <c r="AH14" i="5"/>
  <c r="AI10" i="5"/>
  <c r="AI14" i="5"/>
  <c r="AJ10" i="5"/>
  <c r="AJ12" i="5"/>
  <c r="AK10" i="5"/>
  <c r="AK12" i="5"/>
  <c r="AL10" i="5"/>
  <c r="AL12" i="5"/>
  <c r="AM10" i="5"/>
  <c r="AM12" i="5"/>
  <c r="AN10" i="5"/>
  <c r="AN14" i="5"/>
  <c r="AO12" i="5"/>
  <c r="AP10" i="5"/>
  <c r="AP12" i="5" s="1"/>
  <c r="AP14" i="5" s="1"/>
  <c r="AQ10" i="5"/>
  <c r="AQ12" i="5"/>
  <c r="AQ14" i="5" s="1"/>
  <c r="AW14" i="5" s="1"/>
  <c r="BA14" i="5" s="1"/>
  <c r="AR10" i="5"/>
  <c r="AS10" i="5"/>
  <c r="AS14" i="5"/>
  <c r="AT10" i="5"/>
  <c r="AT14" i="5"/>
  <c r="AU10" i="5"/>
  <c r="AU14" i="5"/>
  <c r="B10" i="5"/>
  <c r="B14" i="5"/>
  <c r="B12" i="5"/>
  <c r="D38" i="8"/>
  <c r="E38" i="8"/>
  <c r="F38" i="8"/>
  <c r="G38" i="8"/>
  <c r="L38" i="8"/>
  <c r="M38" i="8"/>
  <c r="P38" i="8"/>
  <c r="P40" i="8" s="1"/>
  <c r="Q38" i="8"/>
  <c r="AB38" i="8"/>
  <c r="AC38" i="8"/>
  <c r="AH38" i="8"/>
  <c r="AI38" i="8"/>
  <c r="AL38" i="8"/>
  <c r="AM38" i="8"/>
  <c r="AN38" i="8"/>
  <c r="AO38" i="8"/>
  <c r="AP38" i="8"/>
  <c r="AQ38" i="8"/>
  <c r="AR38" i="8"/>
  <c r="AS38" i="8"/>
  <c r="AT38" i="8"/>
  <c r="AU38" i="8"/>
  <c r="AM56" i="19"/>
  <c r="Q56" i="19"/>
  <c r="S56" i="19"/>
  <c r="K56" i="19"/>
  <c r="AB40" i="11"/>
  <c r="AC40" i="11"/>
  <c r="V40" i="11"/>
  <c r="AA40" i="11"/>
  <c r="AN40" i="11"/>
  <c r="AO40" i="11"/>
  <c r="AI40" i="11"/>
  <c r="H40" i="11"/>
  <c r="AV13" i="9"/>
  <c r="AZ13" i="9"/>
  <c r="K8" i="23"/>
  <c r="AC8" i="23"/>
  <c r="J14" i="22"/>
  <c r="AT14" i="22"/>
  <c r="AX14" i="22"/>
  <c r="D14" i="22"/>
  <c r="F14" i="22"/>
  <c r="H14" i="22"/>
  <c r="L12" i="11"/>
  <c r="AV6" i="2"/>
  <c r="AZ6" i="2"/>
  <c r="AW6" i="2"/>
  <c r="BA6" i="2"/>
  <c r="AV7" i="2"/>
  <c r="AZ7" i="2"/>
  <c r="AW7" i="2"/>
  <c r="BA7" i="2" s="1"/>
  <c r="AV8" i="2"/>
  <c r="AZ8" i="2"/>
  <c r="AW8" i="2"/>
  <c r="BA8" i="2"/>
  <c r="AV9" i="2"/>
  <c r="AZ9" i="2"/>
  <c r="AW9" i="2"/>
  <c r="BA9" i="2" s="1"/>
  <c r="AV10" i="2"/>
  <c r="AZ10" i="2"/>
  <c r="AW10" i="2"/>
  <c r="BA10" i="2"/>
  <c r="AV11" i="2"/>
  <c r="AZ11" i="2"/>
  <c r="AW11" i="2"/>
  <c r="BA11" i="2" s="1"/>
  <c r="AV13" i="2"/>
  <c r="AZ13" i="2"/>
  <c r="AW13" i="2"/>
  <c r="BA13" i="2"/>
  <c r="AW5" i="2"/>
  <c r="BA5" i="2"/>
  <c r="AV5" i="2"/>
  <c r="AZ5" i="2" s="1"/>
  <c r="AC12" i="2"/>
  <c r="AC14" i="2"/>
  <c r="AB12" i="2"/>
  <c r="AB14" i="2"/>
  <c r="AB12" i="1"/>
  <c r="AB14" i="1"/>
  <c r="AC12" i="1"/>
  <c r="AC14" i="1" s="1"/>
  <c r="AY18" i="3"/>
  <c r="AY20" i="3"/>
  <c r="AX18" i="3"/>
  <c r="AX20" i="3"/>
  <c r="C18" i="3"/>
  <c r="C20" i="3"/>
  <c r="D18" i="3"/>
  <c r="D20" i="3" s="1"/>
  <c r="E18" i="3"/>
  <c r="E20" i="3"/>
  <c r="F18" i="3"/>
  <c r="F20" i="3"/>
  <c r="G18" i="3"/>
  <c r="G20" i="3"/>
  <c r="H18" i="3"/>
  <c r="H20" i="3" s="1"/>
  <c r="I18" i="3"/>
  <c r="I20" i="3"/>
  <c r="J18" i="3"/>
  <c r="J20" i="3"/>
  <c r="K18" i="3"/>
  <c r="K20" i="3"/>
  <c r="L18" i="3"/>
  <c r="L20" i="3" s="1"/>
  <c r="M18" i="3"/>
  <c r="M20" i="3"/>
  <c r="N18" i="3"/>
  <c r="N20" i="3"/>
  <c r="O18" i="3"/>
  <c r="O20" i="3"/>
  <c r="P18" i="3"/>
  <c r="P20" i="3" s="1"/>
  <c r="Q18" i="3"/>
  <c r="Q20" i="3"/>
  <c r="R18" i="3"/>
  <c r="R20" i="3"/>
  <c r="S18" i="3"/>
  <c r="S20" i="3"/>
  <c r="T18" i="3"/>
  <c r="T20" i="3" s="1"/>
  <c r="U18" i="3"/>
  <c r="U20" i="3"/>
  <c r="V18" i="3"/>
  <c r="V20" i="3"/>
  <c r="W18" i="3"/>
  <c r="W20" i="3"/>
  <c r="X18" i="3"/>
  <c r="X20" i="3" s="1"/>
  <c r="Y18" i="3"/>
  <c r="Y20" i="3"/>
  <c r="Z18" i="3"/>
  <c r="Z20" i="3"/>
  <c r="AA18" i="3"/>
  <c r="AA20" i="3"/>
  <c r="AB18" i="3"/>
  <c r="AB20" i="3" s="1"/>
  <c r="AC18" i="3"/>
  <c r="AC20" i="3"/>
  <c r="AD18" i="3"/>
  <c r="AD20" i="3"/>
  <c r="AE18" i="3"/>
  <c r="AE20" i="3"/>
  <c r="AF18" i="3"/>
  <c r="AF20" i="3" s="1"/>
  <c r="AG18" i="3"/>
  <c r="AG20" i="3"/>
  <c r="AH18" i="3"/>
  <c r="AH20" i="3"/>
  <c r="AI18" i="3"/>
  <c r="AI20" i="3"/>
  <c r="AJ18" i="3"/>
  <c r="AJ20" i="3" s="1"/>
  <c r="AK18" i="3"/>
  <c r="AK20" i="3"/>
  <c r="AL18" i="3"/>
  <c r="AL20" i="3"/>
  <c r="AM18" i="3"/>
  <c r="AM20" i="3"/>
  <c r="AN18" i="3"/>
  <c r="AN20" i="3" s="1"/>
  <c r="AO18" i="3"/>
  <c r="AO20" i="3"/>
  <c r="AP18" i="3"/>
  <c r="AP20" i="3"/>
  <c r="AQ18" i="3"/>
  <c r="AQ20" i="3"/>
  <c r="AR18" i="3"/>
  <c r="AR20" i="3" s="1"/>
  <c r="AS18" i="3"/>
  <c r="AS20" i="3"/>
  <c r="AT18" i="3"/>
  <c r="AT20" i="3"/>
  <c r="AU18" i="3"/>
  <c r="AU20" i="3"/>
  <c r="B18" i="3"/>
  <c r="B20" i="3" s="1"/>
  <c r="AV20" i="3" s="1"/>
  <c r="AZ20" i="3" s="1"/>
  <c r="AY18" i="4"/>
  <c r="AY20" i="4"/>
  <c r="AX18" i="4"/>
  <c r="AX20" i="4"/>
  <c r="C18" i="4"/>
  <c r="C20" i="4"/>
  <c r="D18" i="4"/>
  <c r="D20" i="4" s="1"/>
  <c r="E18" i="4"/>
  <c r="E20" i="4"/>
  <c r="F18" i="4"/>
  <c r="F20" i="4"/>
  <c r="G18" i="4"/>
  <c r="H18" i="4"/>
  <c r="H20" i="4"/>
  <c r="I18" i="4"/>
  <c r="I20" i="4" s="1"/>
  <c r="J18" i="4"/>
  <c r="J20" i="4" s="1"/>
  <c r="K18" i="4"/>
  <c r="K20" i="4" s="1"/>
  <c r="L18" i="4"/>
  <c r="L20" i="4"/>
  <c r="M18" i="4"/>
  <c r="M20" i="4" s="1"/>
  <c r="N18" i="4"/>
  <c r="N20" i="4" s="1"/>
  <c r="O18" i="4"/>
  <c r="O20" i="4" s="1"/>
  <c r="P18" i="4"/>
  <c r="P20" i="4" s="1"/>
  <c r="Q18" i="4"/>
  <c r="Q20" i="4" s="1"/>
  <c r="R18" i="4"/>
  <c r="R20" i="4" s="1"/>
  <c r="S18" i="4"/>
  <c r="S20" i="4" s="1"/>
  <c r="T18" i="4"/>
  <c r="T20" i="4"/>
  <c r="U18" i="4"/>
  <c r="U20" i="4" s="1"/>
  <c r="V18" i="4"/>
  <c r="V20" i="4" s="1"/>
  <c r="W18" i="4"/>
  <c r="W20" i="4" s="1"/>
  <c r="X18" i="4"/>
  <c r="X20" i="4" s="1"/>
  <c r="Y18" i="4"/>
  <c r="Y20" i="4" s="1"/>
  <c r="Z18" i="4"/>
  <c r="Z20" i="4" s="1"/>
  <c r="AA18" i="4"/>
  <c r="AA20" i="4" s="1"/>
  <c r="AB18" i="4"/>
  <c r="AB20" i="4" s="1"/>
  <c r="AC18" i="4"/>
  <c r="AC20" i="4" s="1"/>
  <c r="AD18" i="4"/>
  <c r="AD20" i="4" s="1"/>
  <c r="AE18" i="4"/>
  <c r="AE20" i="4" s="1"/>
  <c r="AF18" i="4"/>
  <c r="AF20" i="4" s="1"/>
  <c r="AG18" i="4"/>
  <c r="AG20" i="4" s="1"/>
  <c r="AH18" i="4"/>
  <c r="AH20" i="4" s="1"/>
  <c r="AI18" i="4"/>
  <c r="AI20" i="4" s="1"/>
  <c r="AJ18" i="4"/>
  <c r="AJ20" i="4"/>
  <c r="AK18" i="4"/>
  <c r="AK20" i="4" s="1"/>
  <c r="AL18" i="4"/>
  <c r="AL20" i="4" s="1"/>
  <c r="AM18" i="4"/>
  <c r="AM20" i="4" s="1"/>
  <c r="AN18" i="4"/>
  <c r="AN20" i="4"/>
  <c r="AO18" i="4"/>
  <c r="AO20" i="4" s="1"/>
  <c r="AP18" i="4"/>
  <c r="AP20" i="4" s="1"/>
  <c r="AQ18" i="4"/>
  <c r="AQ20" i="4" s="1"/>
  <c r="AR18" i="4"/>
  <c r="AR20" i="4"/>
  <c r="AS18" i="4"/>
  <c r="AS20" i="4" s="1"/>
  <c r="AT18" i="4"/>
  <c r="AT20" i="4" s="1"/>
  <c r="AU18" i="4"/>
  <c r="AU20" i="4" s="1"/>
  <c r="B18" i="4"/>
  <c r="B20" i="4" s="1"/>
  <c r="AY12" i="2"/>
  <c r="AY14" i="2" s="1"/>
  <c r="AX12" i="2"/>
  <c r="AX14" i="2" s="1"/>
  <c r="C12" i="2"/>
  <c r="C14" i="2" s="1"/>
  <c r="D12" i="2"/>
  <c r="E12" i="2"/>
  <c r="E14" i="2"/>
  <c r="F12" i="2"/>
  <c r="F14" i="2"/>
  <c r="G12" i="2"/>
  <c r="G14" i="2"/>
  <c r="H12" i="2"/>
  <c r="H14" i="2"/>
  <c r="I12" i="2"/>
  <c r="I14" i="2"/>
  <c r="J12" i="2"/>
  <c r="J14" i="2"/>
  <c r="K12" i="2"/>
  <c r="K14" i="2"/>
  <c r="L12" i="2"/>
  <c r="L14" i="2"/>
  <c r="M12" i="2"/>
  <c r="N12" i="2"/>
  <c r="N14" i="2" s="1"/>
  <c r="O12" i="2"/>
  <c r="O14" i="2" s="1"/>
  <c r="R12" i="2"/>
  <c r="R14" i="2" s="1"/>
  <c r="S12" i="2"/>
  <c r="S14" i="2" s="1"/>
  <c r="T12" i="2"/>
  <c r="T14" i="2" s="1"/>
  <c r="U12" i="2"/>
  <c r="U14" i="2" s="1"/>
  <c r="V12" i="2"/>
  <c r="V14" i="2" s="1"/>
  <c r="W12" i="2"/>
  <c r="W14" i="2" s="1"/>
  <c r="X12" i="2"/>
  <c r="X14" i="2" s="1"/>
  <c r="Y12" i="2"/>
  <c r="Y14" i="2" s="1"/>
  <c r="Z12" i="2"/>
  <c r="Z14" i="2" s="1"/>
  <c r="AA12" i="2"/>
  <c r="AA14" i="2" s="1"/>
  <c r="P12" i="2"/>
  <c r="P14" i="2" s="1"/>
  <c r="Q12" i="2"/>
  <c r="Q14" i="2" s="1"/>
  <c r="AD12" i="2"/>
  <c r="AD14" i="2" s="1"/>
  <c r="AE12" i="2"/>
  <c r="AE14" i="2"/>
  <c r="AF12" i="2"/>
  <c r="AF14" i="2" s="1"/>
  <c r="AG12" i="2"/>
  <c r="AG14" i="2" s="1"/>
  <c r="AH12" i="2"/>
  <c r="AH14" i="2"/>
  <c r="AI12" i="2"/>
  <c r="AI14" i="2" s="1"/>
  <c r="AJ12" i="2"/>
  <c r="AJ14" i="2" s="1"/>
  <c r="AK12" i="2"/>
  <c r="AK14" i="2" s="1"/>
  <c r="AL12" i="2"/>
  <c r="AL14" i="2"/>
  <c r="AM12" i="2"/>
  <c r="AM14" i="2" s="1"/>
  <c r="AN12" i="2"/>
  <c r="AN14" i="2" s="1"/>
  <c r="AO12" i="2"/>
  <c r="AO14" i="2" s="1"/>
  <c r="AP12" i="2"/>
  <c r="AP14" i="2" s="1"/>
  <c r="AQ12" i="2"/>
  <c r="AQ14" i="2" s="1"/>
  <c r="AR12" i="2"/>
  <c r="AR14" i="2" s="1"/>
  <c r="AS12" i="2"/>
  <c r="AS14" i="2" s="1"/>
  <c r="AT12" i="2"/>
  <c r="AT14" i="2"/>
  <c r="AU12" i="2"/>
  <c r="AU14" i="2" s="1"/>
  <c r="B12" i="2"/>
  <c r="B14" i="2" s="1"/>
  <c r="AV14" i="2" s="1"/>
  <c r="AZ14" i="2" s="1"/>
  <c r="AY12" i="1"/>
  <c r="AY14" i="1" s="1"/>
  <c r="D12" i="1"/>
  <c r="D14" i="1" s="1"/>
  <c r="E12" i="1"/>
  <c r="F12" i="1"/>
  <c r="F14" i="1"/>
  <c r="G12" i="1"/>
  <c r="G14" i="1"/>
  <c r="H12" i="1"/>
  <c r="H14" i="1"/>
  <c r="I12" i="1"/>
  <c r="I14" i="1"/>
  <c r="J12" i="1"/>
  <c r="J14" i="1"/>
  <c r="K12" i="1"/>
  <c r="K14" i="1"/>
  <c r="L12" i="1"/>
  <c r="L14" i="1"/>
  <c r="M12" i="1"/>
  <c r="M14" i="1"/>
  <c r="N12" i="1"/>
  <c r="N14" i="1"/>
  <c r="O12" i="1"/>
  <c r="O14" i="1"/>
  <c r="R12" i="1"/>
  <c r="R14" i="1"/>
  <c r="S12" i="1"/>
  <c r="S14" i="1"/>
  <c r="T12" i="1"/>
  <c r="T14" i="1"/>
  <c r="U12" i="1"/>
  <c r="U14" i="1"/>
  <c r="V12" i="1"/>
  <c r="V14" i="1"/>
  <c r="W12" i="1"/>
  <c r="W14" i="1"/>
  <c r="X12" i="1"/>
  <c r="X14" i="1"/>
  <c r="Y12" i="1"/>
  <c r="Y14" i="1"/>
  <c r="Z12" i="1"/>
  <c r="Z14" i="1"/>
  <c r="AA12" i="1"/>
  <c r="AA14" i="1"/>
  <c r="P12" i="1"/>
  <c r="P14" i="1"/>
  <c r="Q12" i="1"/>
  <c r="Q14" i="1"/>
  <c r="AD12" i="1"/>
  <c r="AD14" i="1"/>
  <c r="AE12" i="1"/>
  <c r="AE14" i="1"/>
  <c r="AF12" i="1"/>
  <c r="AF14" i="1"/>
  <c r="AG12" i="1"/>
  <c r="AG14" i="1"/>
  <c r="AH12" i="1"/>
  <c r="AH14" i="1" s="1"/>
  <c r="AI12" i="1"/>
  <c r="AI14" i="1"/>
  <c r="AJ12" i="1"/>
  <c r="AJ14" i="1"/>
  <c r="AK12" i="1"/>
  <c r="AK14" i="1"/>
  <c r="AL12" i="1"/>
  <c r="AL14" i="1" s="1"/>
  <c r="AM12" i="1"/>
  <c r="AM14" i="1"/>
  <c r="AN12" i="1"/>
  <c r="AN14" i="1"/>
  <c r="AO12" i="1"/>
  <c r="AO14" i="1"/>
  <c r="AP12" i="1"/>
  <c r="AP14" i="1" s="1"/>
  <c r="AQ12" i="1"/>
  <c r="AQ14" i="1"/>
  <c r="AR12" i="1"/>
  <c r="AR14" i="1"/>
  <c r="AS12" i="1"/>
  <c r="AS14" i="1"/>
  <c r="AT12" i="1"/>
  <c r="AT14" i="1" s="1"/>
  <c r="AU12" i="1"/>
  <c r="AU14" i="1"/>
  <c r="C12" i="1"/>
  <c r="C14" i="1"/>
  <c r="B12" i="1"/>
  <c r="B14" i="1"/>
  <c r="AP34" i="6"/>
  <c r="AP36" i="6" s="1"/>
  <c r="AP38" i="6" s="1"/>
  <c r="AQ34" i="6"/>
  <c r="AQ36" i="6" s="1"/>
  <c r="AQ38" i="6" s="1"/>
  <c r="AM34" i="6"/>
  <c r="AN34" i="6"/>
  <c r="AN36" i="6" s="1"/>
  <c r="AN38" i="6" s="1"/>
  <c r="AO34" i="6"/>
  <c r="AO36" i="6"/>
  <c r="AO38" i="6" s="1"/>
  <c r="AL34" i="6"/>
  <c r="AN29" i="7"/>
  <c r="AO29" i="7"/>
  <c r="AP26" i="11"/>
  <c r="AQ26" i="11"/>
  <c r="AV15" i="9"/>
  <c r="AZ15" i="9"/>
  <c r="AV12" i="9"/>
  <c r="AZ12" i="9"/>
  <c r="AV11" i="9"/>
  <c r="AZ11" i="9"/>
  <c r="AV10" i="9"/>
  <c r="AZ10" i="9" s="1"/>
  <c r="AV8" i="9"/>
  <c r="AZ8" i="9"/>
  <c r="AV7" i="9"/>
  <c r="AZ7" i="9"/>
  <c r="AV6" i="9"/>
  <c r="AZ6" i="9"/>
  <c r="AV5" i="9"/>
  <c r="AZ5" i="9" s="1"/>
  <c r="AU40" i="11"/>
  <c r="AT40" i="11"/>
  <c r="AM40" i="11"/>
  <c r="AL40" i="11"/>
  <c r="AJ40" i="11"/>
  <c r="AH40" i="11"/>
  <c r="O40" i="11"/>
  <c r="G40" i="11"/>
  <c r="F40" i="11"/>
  <c r="E40" i="11"/>
  <c r="D40" i="11"/>
  <c r="C40" i="11"/>
  <c r="B40" i="11"/>
  <c r="AW38" i="11"/>
  <c r="BA38" i="11"/>
  <c r="AV38" i="11"/>
  <c r="AZ38" i="11" s="1"/>
  <c r="AW37" i="11"/>
  <c r="BA37" i="11" s="1"/>
  <c r="AV37" i="11"/>
  <c r="AZ37" i="11" s="1"/>
  <c r="AW36" i="11"/>
  <c r="BA36" i="11"/>
  <c r="AV36" i="11"/>
  <c r="AZ36" i="11" s="1"/>
  <c r="AW35" i="11"/>
  <c r="BA35" i="11" s="1"/>
  <c r="AV35" i="11"/>
  <c r="AZ35" i="11" s="1"/>
  <c r="AW34" i="11"/>
  <c r="BA34" i="11" s="1"/>
  <c r="BA40" i="11" s="1"/>
  <c r="AV34" i="11"/>
  <c r="AZ34" i="11"/>
  <c r="AW33" i="11"/>
  <c r="BA33" i="11"/>
  <c r="AV33" i="11"/>
  <c r="AZ33" i="11"/>
  <c r="AW31" i="11"/>
  <c r="BA31" i="11" s="1"/>
  <c r="AV31" i="11"/>
  <c r="AZ31" i="11"/>
  <c r="AW30" i="11"/>
  <c r="BA30" i="11"/>
  <c r="AV30" i="11"/>
  <c r="AZ30" i="11"/>
  <c r="AW28" i="11"/>
  <c r="BA28" i="11" s="1"/>
  <c r="AV28" i="11"/>
  <c r="AZ28" i="11"/>
  <c r="AY26" i="11"/>
  <c r="AX26" i="11"/>
  <c r="AT26" i="11"/>
  <c r="AO26" i="11"/>
  <c r="AN26" i="11"/>
  <c r="AM26" i="11"/>
  <c r="AL26" i="11"/>
  <c r="AJ26" i="11"/>
  <c r="AH26" i="11"/>
  <c r="AE26" i="11"/>
  <c r="AD26" i="11"/>
  <c r="Z26" i="11"/>
  <c r="X26" i="11"/>
  <c r="W26" i="11"/>
  <c r="V26" i="11"/>
  <c r="T26" i="11"/>
  <c r="S26" i="11"/>
  <c r="R26" i="11"/>
  <c r="Q26" i="11"/>
  <c r="P26" i="11"/>
  <c r="N26" i="11"/>
  <c r="J26" i="11"/>
  <c r="H26" i="11"/>
  <c r="E26" i="11"/>
  <c r="D26" i="11"/>
  <c r="B26" i="11"/>
  <c r="AW24" i="11"/>
  <c r="BA24" i="11" s="1"/>
  <c r="AV24" i="11"/>
  <c r="AZ24" i="11"/>
  <c r="AW23" i="11"/>
  <c r="BA23" i="11" s="1"/>
  <c r="AV23" i="11"/>
  <c r="AZ23" i="11"/>
  <c r="AW22" i="11"/>
  <c r="BA22" i="11" s="1"/>
  <c r="AV22" i="11"/>
  <c r="AZ22" i="11"/>
  <c r="AW20" i="11"/>
  <c r="BA20" i="11" s="1"/>
  <c r="AV20" i="11"/>
  <c r="AZ20" i="11"/>
  <c r="AW19" i="11"/>
  <c r="BA19" i="11" s="1"/>
  <c r="AV19" i="11"/>
  <c r="AZ19" i="11"/>
  <c r="AV18" i="11"/>
  <c r="AZ18" i="11" s="1"/>
  <c r="AW17" i="11"/>
  <c r="BA17" i="11"/>
  <c r="AV17" i="11"/>
  <c r="AZ17" i="11" s="1"/>
  <c r="AW16" i="11"/>
  <c r="BA16" i="11"/>
  <c r="AV16" i="11"/>
  <c r="AZ16" i="11" s="1"/>
  <c r="AW15" i="11"/>
  <c r="BA15" i="11"/>
  <c r="AV15" i="11"/>
  <c r="AZ15" i="11" s="1"/>
  <c r="AW14" i="11"/>
  <c r="BA14" i="11"/>
  <c r="AV14" i="11"/>
  <c r="AZ14" i="11" s="1"/>
  <c r="AY12" i="11"/>
  <c r="AX12" i="11"/>
  <c r="AU12" i="11"/>
  <c r="AT12" i="11"/>
  <c r="AS12" i="11"/>
  <c r="AR12" i="11"/>
  <c r="AQ12" i="11"/>
  <c r="AP12" i="11"/>
  <c r="AO12" i="11"/>
  <c r="AN12" i="11"/>
  <c r="AM12" i="11"/>
  <c r="AL12" i="11"/>
  <c r="AK12" i="11"/>
  <c r="AJ12" i="11"/>
  <c r="AI12" i="11"/>
  <c r="AH12" i="11"/>
  <c r="AE12" i="11"/>
  <c r="AD12" i="11"/>
  <c r="AC12" i="11"/>
  <c r="AB12" i="11"/>
  <c r="Z12" i="11"/>
  <c r="Y12" i="11"/>
  <c r="X12" i="11"/>
  <c r="W12" i="11"/>
  <c r="V12" i="11"/>
  <c r="U12" i="11"/>
  <c r="T12" i="11"/>
  <c r="S12" i="11"/>
  <c r="R12" i="11"/>
  <c r="Q12" i="11"/>
  <c r="P12" i="11"/>
  <c r="O12" i="11"/>
  <c r="N12" i="11"/>
  <c r="K12" i="11"/>
  <c r="J12" i="11"/>
  <c r="I12" i="11"/>
  <c r="H12" i="11"/>
  <c r="G12" i="11"/>
  <c r="F12" i="11"/>
  <c r="E12" i="11"/>
  <c r="D12" i="11"/>
  <c r="C12" i="11"/>
  <c r="B12" i="11"/>
  <c r="AV10" i="11"/>
  <c r="AZ10" i="11" s="1"/>
  <c r="AW9" i="11"/>
  <c r="BA9" i="11" s="1"/>
  <c r="AV9" i="11"/>
  <c r="AZ9" i="11" s="1"/>
  <c r="AW8" i="11"/>
  <c r="BA8" i="11" s="1"/>
  <c r="AV8" i="11"/>
  <c r="AZ8" i="11" s="1"/>
  <c r="AW7" i="11"/>
  <c r="BA7" i="11" s="1"/>
  <c r="AV7" i="11"/>
  <c r="AZ7" i="11" s="1"/>
  <c r="AW6" i="11"/>
  <c r="BA6" i="11"/>
  <c r="AV6" i="11"/>
  <c r="AZ6" i="11" s="1"/>
  <c r="AV5" i="11"/>
  <c r="AZ5" i="11"/>
  <c r="AK40" i="11"/>
  <c r="AW39" i="8"/>
  <c r="BA39" i="8"/>
  <c r="AV39" i="8"/>
  <c r="AZ39" i="8"/>
  <c r="AV37" i="8"/>
  <c r="AZ37" i="8"/>
  <c r="AW35" i="8"/>
  <c r="BA35" i="8"/>
  <c r="AV35" i="8"/>
  <c r="AZ35" i="8"/>
  <c r="AW34" i="8"/>
  <c r="BA34" i="8"/>
  <c r="AV34" i="8"/>
  <c r="AZ34" i="8"/>
  <c r="AW32" i="8"/>
  <c r="BA32" i="8"/>
  <c r="AV32" i="8"/>
  <c r="AZ32" i="8"/>
  <c r="AV31" i="8"/>
  <c r="AZ31" i="8"/>
  <c r="AW30" i="8"/>
  <c r="BA30" i="8"/>
  <c r="AV30" i="8"/>
  <c r="AZ30" i="8"/>
  <c r="AW29" i="8"/>
  <c r="BA29" i="8"/>
  <c r="AV29" i="8"/>
  <c r="AZ29" i="8" s="1"/>
  <c r="AW27" i="8"/>
  <c r="BA27" i="8"/>
  <c r="AV27" i="8"/>
  <c r="AZ27" i="8"/>
  <c r="AW25" i="8"/>
  <c r="BA25" i="8"/>
  <c r="AV25" i="8"/>
  <c r="AZ25" i="8" s="1"/>
  <c r="AW23" i="8"/>
  <c r="BA23" i="8" s="1"/>
  <c r="AV23" i="8"/>
  <c r="AZ23" i="8" s="1"/>
  <c r="AW22" i="8"/>
  <c r="BA22" i="8" s="1"/>
  <c r="AV22" i="8"/>
  <c r="AZ22" i="8" s="1"/>
  <c r="AW21" i="8"/>
  <c r="BA21" i="8" s="1"/>
  <c r="AV21" i="8"/>
  <c r="AZ21" i="8" s="1"/>
  <c r="AW20" i="8"/>
  <c r="BA20" i="8"/>
  <c r="AV20" i="8"/>
  <c r="AZ20" i="8" s="1"/>
  <c r="AW19" i="8"/>
  <c r="BA19" i="8"/>
  <c r="AV19" i="8"/>
  <c r="AZ19" i="8" s="1"/>
  <c r="AW18" i="8"/>
  <c r="BA18" i="8" s="1"/>
  <c r="AV18" i="8"/>
  <c r="AZ18" i="8" s="1"/>
  <c r="AW17" i="8"/>
  <c r="BA17" i="8"/>
  <c r="AV17" i="8"/>
  <c r="AZ17" i="8" s="1"/>
  <c r="AW16" i="8"/>
  <c r="BA16" i="8"/>
  <c r="AV16" i="8"/>
  <c r="AZ16" i="8" s="1"/>
  <c r="AW15" i="8"/>
  <c r="BA15" i="8" s="1"/>
  <c r="AV15" i="8"/>
  <c r="AZ15" i="8" s="1"/>
  <c r="AW14" i="8"/>
  <c r="BA14" i="8" s="1"/>
  <c r="AV14" i="8"/>
  <c r="AZ14" i="8" s="1"/>
  <c r="AW13" i="8"/>
  <c r="BA13" i="8" s="1"/>
  <c r="AV13" i="8"/>
  <c r="AZ13" i="8" s="1"/>
  <c r="AV12" i="8"/>
  <c r="AZ12" i="8"/>
  <c r="AV11" i="8"/>
  <c r="AZ11" i="8" s="1"/>
  <c r="AW10" i="8"/>
  <c r="BA10" i="8"/>
  <c r="AV10" i="8"/>
  <c r="AZ10" i="8" s="1"/>
  <c r="AW7" i="8"/>
  <c r="BA7" i="8" s="1"/>
  <c r="AV7" i="8"/>
  <c r="AZ7" i="8" s="1"/>
  <c r="AW6" i="8"/>
  <c r="BA6" i="8"/>
  <c r="AV6" i="8"/>
  <c r="AZ6" i="8" s="1"/>
  <c r="AW5" i="8"/>
  <c r="BA5" i="8"/>
  <c r="AV5" i="8"/>
  <c r="AZ5" i="8" s="1"/>
  <c r="AY29" i="7"/>
  <c r="AX29" i="7"/>
  <c r="AU29" i="7"/>
  <c r="AT29" i="7"/>
  <c r="AS29" i="7"/>
  <c r="AR29" i="7"/>
  <c r="AQ29" i="7"/>
  <c r="AP29" i="7"/>
  <c r="AM29" i="7"/>
  <c r="AL29" i="7"/>
  <c r="AK29" i="7"/>
  <c r="AJ29" i="7"/>
  <c r="AI29" i="7"/>
  <c r="AH29" i="7"/>
  <c r="AG29" i="7"/>
  <c r="AF29" i="7"/>
  <c r="AD29" i="7"/>
  <c r="AB29" i="7"/>
  <c r="Z29" i="7"/>
  <c r="X29" i="7"/>
  <c r="V29" i="7"/>
  <c r="T29" i="7"/>
  <c r="R29" i="7"/>
  <c r="L29" i="7"/>
  <c r="J29" i="7"/>
  <c r="F29" i="7"/>
  <c r="AW28" i="7"/>
  <c r="BA28" i="7"/>
  <c r="AV28" i="7"/>
  <c r="AZ28" i="7" s="1"/>
  <c r="AW26" i="7"/>
  <c r="BA26" i="7" s="1"/>
  <c r="AV26" i="7"/>
  <c r="AZ26" i="7" s="1"/>
  <c r="AW25" i="7"/>
  <c r="BA25" i="7"/>
  <c r="AV25" i="7"/>
  <c r="AZ25" i="7" s="1"/>
  <c r="AW24" i="7"/>
  <c r="BA24" i="7" s="1"/>
  <c r="AV24" i="7"/>
  <c r="AZ24" i="7" s="1"/>
  <c r="AW23" i="7"/>
  <c r="BA23" i="7"/>
  <c r="AV23" i="7"/>
  <c r="AZ23" i="7" s="1"/>
  <c r="AW22" i="7"/>
  <c r="BA22" i="7" s="1"/>
  <c r="AV22" i="7"/>
  <c r="AZ22" i="7" s="1"/>
  <c r="AW21" i="7"/>
  <c r="BA21" i="7"/>
  <c r="AV21" i="7"/>
  <c r="AZ21" i="7" s="1"/>
  <c r="AW20" i="7"/>
  <c r="BA20" i="7" s="1"/>
  <c r="AV20" i="7"/>
  <c r="AZ20" i="7" s="1"/>
  <c r="AW19" i="7"/>
  <c r="BA19" i="7"/>
  <c r="AV19" i="7"/>
  <c r="AZ19" i="7" s="1"/>
  <c r="AV18" i="7"/>
  <c r="AZ18" i="7" s="1"/>
  <c r="AW17" i="7"/>
  <c r="BA17" i="7" s="1"/>
  <c r="AV17" i="7"/>
  <c r="AZ17" i="7"/>
  <c r="AW16" i="7"/>
  <c r="BA16" i="7" s="1"/>
  <c r="AV16" i="7"/>
  <c r="AZ16" i="7" s="1"/>
  <c r="AW12" i="7"/>
  <c r="BA12" i="7" s="1"/>
  <c r="AV12" i="7"/>
  <c r="AZ12" i="7"/>
  <c r="AW11" i="7"/>
  <c r="BA11" i="7" s="1"/>
  <c r="AV11" i="7"/>
  <c r="AZ11" i="7" s="1"/>
  <c r="AW8" i="7"/>
  <c r="BA8" i="7" s="1"/>
  <c r="AV8" i="7"/>
  <c r="AZ8" i="7" s="1"/>
  <c r="AW7" i="7"/>
  <c r="BA7" i="7" s="1"/>
  <c r="AV7" i="7"/>
  <c r="AZ7" i="7" s="1"/>
  <c r="AW6" i="7"/>
  <c r="BA6" i="7" s="1"/>
  <c r="AV6" i="7"/>
  <c r="AZ6" i="7" s="1"/>
  <c r="AM38" i="6"/>
  <c r="AL38" i="6"/>
  <c r="AK34" i="6"/>
  <c r="AK36" i="6" s="1"/>
  <c r="AK38" i="6" s="1"/>
  <c r="AJ34" i="6"/>
  <c r="AJ36" i="6"/>
  <c r="AJ38" i="6" s="1"/>
  <c r="AI34" i="6"/>
  <c r="AI36" i="6" s="1"/>
  <c r="AI38" i="6" s="1"/>
  <c r="AH34" i="6"/>
  <c r="AH36" i="6" s="1"/>
  <c r="AH38" i="6" s="1"/>
  <c r="AG34" i="6"/>
  <c r="AG36" i="6" s="1"/>
  <c r="AG38" i="6" s="1"/>
  <c r="AF34" i="6"/>
  <c r="AF36" i="6" s="1"/>
  <c r="AF38" i="6" s="1"/>
  <c r="AE34" i="6"/>
  <c r="AE36" i="6" s="1"/>
  <c r="AE38" i="6" s="1"/>
  <c r="AD34" i="6"/>
  <c r="AD36" i="6" s="1"/>
  <c r="AD38" i="6" s="1"/>
  <c r="AC34" i="6"/>
  <c r="AC36" i="6" s="1"/>
  <c r="AC38" i="6" s="1"/>
  <c r="AB34" i="6"/>
  <c r="AB36" i="6"/>
  <c r="AB38" i="6" s="1"/>
  <c r="AA34" i="6"/>
  <c r="AA36" i="6" s="1"/>
  <c r="AA38" i="6" s="1"/>
  <c r="Z34" i="6"/>
  <c r="Z38" i="6"/>
  <c r="Y34" i="6"/>
  <c r="X34" i="6"/>
  <c r="W34" i="6"/>
  <c r="W36" i="6"/>
  <c r="V34" i="6"/>
  <c r="V36" i="6"/>
  <c r="S34" i="6"/>
  <c r="S36" i="6" s="1"/>
  <c r="S38" i="6" s="1"/>
  <c r="R34" i="6"/>
  <c r="R36" i="6" s="1"/>
  <c r="R38" i="6" s="1"/>
  <c r="Q34" i="6"/>
  <c r="Q36" i="6"/>
  <c r="Q38" i="6" s="1"/>
  <c r="P34" i="6"/>
  <c r="P36" i="6" s="1"/>
  <c r="P38" i="6" s="1"/>
  <c r="O34" i="6"/>
  <c r="O36" i="6"/>
  <c r="O38" i="6" s="1"/>
  <c r="N34" i="6"/>
  <c r="N36" i="6" s="1"/>
  <c r="N38" i="6" s="1"/>
  <c r="M34" i="6"/>
  <c r="M36" i="6"/>
  <c r="M38" i="6" s="1"/>
  <c r="L34" i="6"/>
  <c r="L36" i="6" s="1"/>
  <c r="L38" i="6" s="1"/>
  <c r="K34" i="6"/>
  <c r="K36" i="6" s="1"/>
  <c r="K38" i="6" s="1"/>
  <c r="J34" i="6"/>
  <c r="J36" i="6"/>
  <c r="J38" i="6" s="1"/>
  <c r="I34" i="6"/>
  <c r="I36" i="6" s="1"/>
  <c r="I38" i="6" s="1"/>
  <c r="H34" i="6"/>
  <c r="H36" i="6" s="1"/>
  <c r="H38" i="6" s="1"/>
  <c r="G34" i="6"/>
  <c r="G36" i="6" s="1"/>
  <c r="G38" i="6" s="1"/>
  <c r="F34" i="6"/>
  <c r="F36" i="6"/>
  <c r="F38" i="6" s="1"/>
  <c r="E34" i="6"/>
  <c r="E36" i="6" s="1"/>
  <c r="D34" i="6"/>
  <c r="D36" i="6"/>
  <c r="C34" i="6"/>
  <c r="C36" i="6"/>
  <c r="C38" i="6" s="1"/>
  <c r="B34" i="6"/>
  <c r="B36" i="6" s="1"/>
  <c r="AW30" i="6"/>
  <c r="BA30" i="6" s="1"/>
  <c r="AV30" i="6"/>
  <c r="AZ30" i="6" s="1"/>
  <c r="AW28" i="6"/>
  <c r="BA28" i="6" s="1"/>
  <c r="AV28" i="6"/>
  <c r="AZ28" i="6" s="1"/>
  <c r="AW27" i="6"/>
  <c r="BA27" i="6" s="1"/>
  <c r="AV27" i="6"/>
  <c r="AZ27" i="6" s="1"/>
  <c r="AW24" i="6"/>
  <c r="BA24" i="6" s="1"/>
  <c r="AV24" i="6"/>
  <c r="AZ24" i="6" s="1"/>
  <c r="AW21" i="6"/>
  <c r="BA21" i="6" s="1"/>
  <c r="AV21" i="6"/>
  <c r="AZ21" i="6" s="1"/>
  <c r="AW20" i="6"/>
  <c r="BA20" i="6" s="1"/>
  <c r="AV20" i="6"/>
  <c r="AZ20" i="6" s="1"/>
  <c r="AW19" i="6"/>
  <c r="BA19" i="6" s="1"/>
  <c r="AV19" i="6"/>
  <c r="AZ19" i="6" s="1"/>
  <c r="AW18" i="6"/>
  <c r="BA18" i="6" s="1"/>
  <c r="AV18" i="6"/>
  <c r="AZ18" i="6" s="1"/>
  <c r="AW17" i="6"/>
  <c r="BA17" i="6" s="1"/>
  <c r="AV17" i="6"/>
  <c r="AZ17" i="6" s="1"/>
  <c r="AW15" i="6"/>
  <c r="BA15" i="6" s="1"/>
  <c r="AV15" i="6"/>
  <c r="AZ15" i="6" s="1"/>
  <c r="AW14" i="6"/>
  <c r="BA14" i="6" s="1"/>
  <c r="AV14" i="6"/>
  <c r="AZ14" i="6" s="1"/>
  <c r="AW13" i="6"/>
  <c r="BA13" i="6" s="1"/>
  <c r="AV13" i="6"/>
  <c r="AZ13" i="6" s="1"/>
  <c r="AW12" i="6"/>
  <c r="BA12" i="6" s="1"/>
  <c r="AV12" i="6"/>
  <c r="AZ12" i="6" s="1"/>
  <c r="AW11" i="6"/>
  <c r="BA11" i="6" s="1"/>
  <c r="AV11" i="6"/>
  <c r="AZ11" i="6" s="1"/>
  <c r="AW8" i="6"/>
  <c r="BA8" i="6" s="1"/>
  <c r="AV8" i="6"/>
  <c r="AZ8" i="6" s="1"/>
  <c r="AW7" i="6"/>
  <c r="BA7" i="6" s="1"/>
  <c r="AV7" i="6"/>
  <c r="AZ7" i="6" s="1"/>
  <c r="AW6" i="6"/>
  <c r="BA6" i="6" s="1"/>
  <c r="AV6" i="6"/>
  <c r="AZ6" i="6" s="1"/>
  <c r="AW9" i="5"/>
  <c r="BA9" i="5" s="1"/>
  <c r="AW8" i="5"/>
  <c r="BA8" i="5" s="1"/>
  <c r="AW7" i="5"/>
  <c r="BA7" i="5" s="1"/>
  <c r="AW19" i="4"/>
  <c r="BA19" i="4" s="1"/>
  <c r="AV19" i="4"/>
  <c r="AZ19" i="4" s="1"/>
  <c r="AV5" i="4"/>
  <c r="AZ5" i="4" s="1"/>
  <c r="AV19" i="3"/>
  <c r="AZ19" i="3" s="1"/>
  <c r="AV5" i="3"/>
  <c r="AZ5" i="3" s="1"/>
  <c r="AV9" i="9"/>
  <c r="AZ9" i="9" s="1"/>
  <c r="AV14" i="9"/>
  <c r="AZ14" i="9" s="1"/>
  <c r="AW10" i="11"/>
  <c r="BA10" i="11" s="1"/>
  <c r="AG12" i="11"/>
  <c r="AW5" i="11"/>
  <c r="BA5" i="11"/>
  <c r="M12" i="11"/>
  <c r="M40" i="11"/>
  <c r="V14" i="22"/>
  <c r="AV6" i="22"/>
  <c r="AZ6" i="22"/>
  <c r="AJ13" i="7"/>
  <c r="AJ15" i="7"/>
  <c r="Z13" i="7"/>
  <c r="Z15" i="7"/>
  <c r="U13" i="7"/>
  <c r="AK13" i="7"/>
  <c r="L13" i="7"/>
  <c r="L15" i="7"/>
  <c r="AG13" i="7"/>
  <c r="C13" i="7"/>
  <c r="T12" i="5"/>
  <c r="U12" i="5"/>
  <c r="AH12" i="5"/>
  <c r="X14" i="5"/>
  <c r="AM14" i="5"/>
  <c r="AF14" i="5"/>
  <c r="O14" i="5"/>
  <c r="AT12" i="5"/>
  <c r="AB12" i="5"/>
  <c r="R14" i="5"/>
  <c r="Z12" i="5"/>
  <c r="AR12" i="5"/>
  <c r="AR14" i="5"/>
  <c r="AO14" i="5"/>
  <c r="N14" i="5"/>
  <c r="AJ14" i="5"/>
  <c r="R40" i="11"/>
  <c r="AR40" i="11"/>
  <c r="AR26" i="11"/>
  <c r="P40" i="11"/>
  <c r="AV11" i="11"/>
  <c r="AZ11" i="11"/>
  <c r="H27" i="11"/>
  <c r="AV27" i="11"/>
  <c r="AZ27" i="11" s="1"/>
  <c r="W38" i="8"/>
  <c r="AD38" i="8"/>
  <c r="Z38" i="8"/>
  <c r="AE38" i="8"/>
  <c r="AW26" i="8"/>
  <c r="BA26" i="8" s="1"/>
  <c r="X38" i="8"/>
  <c r="AW28" i="8"/>
  <c r="BA28" i="8"/>
  <c r="AJ38" i="8"/>
  <c r="T38" i="8"/>
  <c r="AV9" i="8"/>
  <c r="AZ9" i="8"/>
  <c r="AF38" i="8"/>
  <c r="V38" i="8"/>
  <c r="R38" i="8"/>
  <c r="B38" i="8"/>
  <c r="K38" i="8"/>
  <c r="AV26" i="8"/>
  <c r="AZ26" i="8" s="1"/>
  <c r="AR34" i="6"/>
  <c r="AR36" i="6" s="1"/>
  <c r="AR38" i="6" s="1"/>
  <c r="T34" i="6"/>
  <c r="T36" i="6"/>
  <c r="AV22" i="6"/>
  <c r="AZ22" i="6"/>
  <c r="U34" i="6"/>
  <c r="U36" i="6"/>
  <c r="AV10" i="6"/>
  <c r="AZ10" i="6"/>
  <c r="AW24" i="8"/>
  <c r="BA24" i="8"/>
  <c r="E14" i="1"/>
  <c r="AS26" i="11"/>
  <c r="AF26" i="11"/>
  <c r="AW11" i="11"/>
  <c r="BA11" i="11" s="1"/>
  <c r="AE14" i="5"/>
  <c r="AA12" i="5"/>
  <c r="M12" i="5"/>
  <c r="M14" i="5"/>
  <c r="M14" i="2"/>
  <c r="S38" i="8"/>
  <c r="AC12" i="5"/>
  <c r="D14" i="2"/>
  <c r="AK38" i="8"/>
  <c r="AG38" i="8"/>
  <c r="AU34" i="6"/>
  <c r="AU36" i="6" s="1"/>
  <c r="AU38" i="6" s="1"/>
  <c r="AS34" i="6"/>
  <c r="AW27" i="11"/>
  <c r="BA27" i="11" s="1"/>
  <c r="E14" i="5"/>
  <c r="S14" i="5"/>
  <c r="W12" i="5"/>
  <c r="AE13" i="7"/>
  <c r="AI13" i="7"/>
  <c r="AO13" i="7"/>
  <c r="AQ13" i="7"/>
  <c r="Y13" i="7"/>
  <c r="Y15" i="7"/>
  <c r="W13" i="7"/>
  <c r="W15" i="7"/>
  <c r="S13" i="7"/>
  <c r="S15" i="7"/>
  <c r="Q13" i="7"/>
  <c r="O13" i="7"/>
  <c r="M13" i="7"/>
  <c r="M15" i="7"/>
  <c r="I15" i="7"/>
  <c r="E13" i="7"/>
  <c r="AW13" i="7" s="1"/>
  <c r="BA13" i="7" s="1"/>
  <c r="E15" i="7"/>
  <c r="AS13" i="7"/>
  <c r="AU13" i="7"/>
  <c r="AW8" i="23"/>
  <c r="BA8" i="23" s="1"/>
  <c r="AA38" i="8"/>
  <c r="P12" i="5"/>
  <c r="H14" i="5"/>
  <c r="AW18" i="7"/>
  <c r="BA18" i="7"/>
  <c r="AS12" i="5"/>
  <c r="Y14" i="5"/>
  <c r="Q12" i="5"/>
  <c r="K14" i="5"/>
  <c r="AD14" i="5"/>
  <c r="AG14" i="5"/>
  <c r="AL14" i="5"/>
  <c r="R13" i="7"/>
  <c r="R15" i="7" s="1"/>
  <c r="AW5" i="22"/>
  <c r="BA5" i="22" s="1"/>
  <c r="AW6" i="22"/>
  <c r="BA6" i="22" s="1"/>
  <c r="AN12" i="5"/>
  <c r="D12" i="5"/>
  <c r="AW36" i="8"/>
  <c r="AV36" i="8"/>
  <c r="AZ36" i="8" s="1"/>
  <c r="O22" i="26"/>
  <c r="AV19" i="26"/>
  <c r="AZ19" i="26" s="1"/>
  <c r="L12" i="5"/>
  <c r="AW19" i="28"/>
  <c r="BA19" i="28"/>
  <c r="AW10" i="28"/>
  <c r="BA10" i="28"/>
  <c r="AV18" i="28"/>
  <c r="AZ18" i="28"/>
  <c r="AV32" i="11"/>
  <c r="AZ32" i="11"/>
  <c r="M26" i="11"/>
  <c r="K40" i="11"/>
  <c r="AW40" i="11" s="1"/>
  <c r="K51" i="28"/>
  <c r="K15" i="7"/>
  <c r="J38" i="8"/>
  <c r="AV8" i="23"/>
  <c r="AZ8" i="23" s="1"/>
  <c r="K21" i="27"/>
  <c r="I32" i="26"/>
  <c r="I38" i="8"/>
  <c r="AV10" i="5"/>
  <c r="AZ10" i="5"/>
  <c r="I12" i="5"/>
  <c r="I14" i="5"/>
  <c r="AV50" i="28"/>
  <c r="AZ50" i="28"/>
  <c r="AW18" i="11"/>
  <c r="BA18" i="11"/>
  <c r="D21" i="27"/>
  <c r="E23" i="27"/>
  <c r="G20" i="4"/>
  <c r="AW17" i="27"/>
  <c r="BA17" i="27" s="1"/>
  <c r="D38" i="6"/>
  <c r="G13" i="7"/>
  <c r="F12" i="5"/>
  <c r="R51" i="28"/>
  <c r="AV29" i="7"/>
  <c r="AZ29" i="7" s="1"/>
  <c r="P21" i="27"/>
  <c r="AV10" i="7"/>
  <c r="AZ10" i="7"/>
  <c r="AV66" i="28"/>
  <c r="AZ66" i="28"/>
  <c r="O51" i="28"/>
  <c r="AW50" i="28"/>
  <c r="BA50" i="28" s="1"/>
  <c r="N51" i="28"/>
  <c r="J14" i="5"/>
  <c r="G14" i="5"/>
  <c r="B14" i="22"/>
  <c r="AV14" i="22" s="1"/>
  <c r="AZ14" i="22" s="1"/>
  <c r="AV12" i="22"/>
  <c r="AZ12" i="22"/>
  <c r="AW18" i="4"/>
  <c r="BA18" i="4"/>
  <c r="AV12" i="1"/>
  <c r="AZ12" i="1"/>
  <c r="C12" i="5"/>
  <c r="AW12" i="1"/>
  <c r="BA12" i="1" s="1"/>
  <c r="H38" i="8"/>
  <c r="AK14" i="5"/>
  <c r="L23" i="27"/>
  <c r="L21" i="27"/>
  <c r="E51" i="28"/>
  <c r="AW47" i="28"/>
  <c r="BA47" i="28"/>
  <c r="AW18" i="3"/>
  <c r="BA18" i="3"/>
  <c r="AV12" i="2"/>
  <c r="AZ12" i="2"/>
  <c r="AW12" i="2"/>
  <c r="BA12" i="2"/>
  <c r="E32" i="26"/>
  <c r="E25" i="26"/>
  <c r="E22" i="26"/>
  <c r="E38" i="26"/>
  <c r="E42" i="26" s="1"/>
  <c r="AV5" i="28"/>
  <c r="AZ5" i="28"/>
  <c r="B10" i="28"/>
  <c r="AV10" i="28"/>
  <c r="AZ10" i="28" s="1"/>
  <c r="J23" i="27"/>
  <c r="J21" i="27"/>
  <c r="AG51" i="28"/>
  <c r="AV21" i="11"/>
  <c r="AZ21" i="11" s="1"/>
  <c r="AA13" i="7"/>
  <c r="S21" i="27"/>
  <c r="AC23" i="27"/>
  <c r="C23" i="27"/>
  <c r="C21" i="27"/>
  <c r="F26" i="11"/>
  <c r="AV26" i="11" s="1"/>
  <c r="AZ26" i="11" s="1"/>
  <c r="AV13" i="11"/>
  <c r="AZ13" i="11" s="1"/>
  <c r="D32" i="26"/>
  <c r="D42" i="26" s="1"/>
  <c r="D25" i="26"/>
  <c r="D22" i="26"/>
  <c r="U51" i="28"/>
  <c r="AS51" i="28"/>
  <c r="H22" i="26"/>
  <c r="H32" i="26"/>
  <c r="H42" i="26" s="1"/>
  <c r="F21" i="27"/>
  <c r="N21" i="27"/>
  <c r="AW38" i="26"/>
  <c r="BA38" i="26" s="1"/>
  <c r="T51" i="28"/>
  <c r="T38" i="6"/>
  <c r="U38" i="6"/>
  <c r="W51" i="28"/>
  <c r="AW12" i="11"/>
  <c r="BA12" i="11"/>
  <c r="AC51" i="28"/>
  <c r="AC13" i="7"/>
  <c r="AA51" i="28"/>
  <c r="Y51" i="28"/>
  <c r="AW10" i="5"/>
  <c r="BA10" i="5"/>
  <c r="X32" i="26"/>
  <c r="AV22" i="26"/>
  <c r="AZ22" i="26" s="1"/>
  <c r="Y32" i="26"/>
  <c r="AV17" i="27"/>
  <c r="AZ17" i="27"/>
  <c r="W38" i="6"/>
  <c r="V38" i="6"/>
  <c r="V15" i="7"/>
  <c r="V12" i="5"/>
  <c r="AV12" i="5"/>
  <c r="AZ12" i="5"/>
  <c r="X42" i="26"/>
  <c r="AD15" i="7"/>
  <c r="AE51" i="28"/>
  <c r="AU12" i="5"/>
  <c r="AW10" i="7"/>
  <c r="BA10" i="7"/>
  <c r="AW34" i="6"/>
  <c r="AS36" i="6"/>
  <c r="AS38" i="6"/>
  <c r="AV34" i="6"/>
  <c r="AS15" i="7"/>
  <c r="AW66" i="28"/>
  <c r="BA66" i="28"/>
  <c r="AQ51" i="28"/>
  <c r="AV56" i="28"/>
  <c r="AZ56" i="28"/>
  <c r="AV14" i="5"/>
  <c r="AZ14" i="5" s="1"/>
  <c r="AP15" i="7"/>
  <c r="AW38" i="8"/>
  <c r="BA38" i="8" s="1"/>
  <c r="AV18" i="4"/>
  <c r="AZ18" i="4"/>
  <c r="AV12" i="11"/>
  <c r="AZ12" i="11"/>
  <c r="AK51" i="28"/>
  <c r="AW29" i="7"/>
  <c r="BA29" i="7" s="1"/>
  <c r="AV38" i="8"/>
  <c r="AK22" i="26"/>
  <c r="AW13" i="26"/>
  <c r="BA13" i="26" s="1"/>
  <c r="AV13" i="26"/>
  <c r="AZ13" i="26" s="1"/>
  <c r="AW14" i="1"/>
  <c r="BA14" i="1" s="1"/>
  <c r="AW20" i="4"/>
  <c r="BA20" i="4" s="1"/>
  <c r="AW20" i="3"/>
  <c r="BA20" i="3" s="1"/>
  <c r="AV18" i="3"/>
  <c r="AZ18" i="3" s="1"/>
  <c r="AI12" i="5"/>
  <c r="AW12" i="5" s="1"/>
  <c r="BA12" i="5" s="1"/>
  <c r="AI51" i="28"/>
  <c r="AZ40" i="11"/>
  <c r="AK25" i="26"/>
  <c r="AK32" i="26" s="1"/>
  <c r="AX15" i="7"/>
  <c r="AZ15" i="7" s="1"/>
  <c r="AX51" i="28"/>
  <c r="AX38" i="8"/>
  <c r="AZ38" i="8"/>
  <c r="BA36" i="8"/>
  <c r="AX34" i="6"/>
  <c r="AX38" i="6" s="1"/>
  <c r="AY34" i="6"/>
  <c r="AY38" i="6" s="1"/>
  <c r="BA34" i="6"/>
  <c r="AW36" i="6" l="1"/>
  <c r="BA36" i="6" s="1"/>
  <c r="E38" i="6"/>
  <c r="AW38" i="6" s="1"/>
  <c r="BA38" i="6" s="1"/>
  <c r="AV13" i="7"/>
  <c r="AZ13" i="7" s="1"/>
  <c r="T15" i="7"/>
  <c r="AS22" i="26"/>
  <c r="AW19" i="26"/>
  <c r="BA19" i="26" s="1"/>
  <c r="AW14" i="2"/>
  <c r="BA14" i="2" s="1"/>
  <c r="AV36" i="6"/>
  <c r="AZ36" i="6" s="1"/>
  <c r="B38" i="6"/>
  <c r="AV38" i="6" s="1"/>
  <c r="AZ38" i="6" s="1"/>
  <c r="AV20" i="4"/>
  <c r="AZ20" i="4" s="1"/>
  <c r="AW12" i="22"/>
  <c r="BA12" i="22" s="1"/>
  <c r="C14" i="22"/>
  <c r="AW14" i="22" s="1"/>
  <c r="BA14" i="22" s="1"/>
  <c r="AW42" i="26"/>
  <c r="AN32" i="26"/>
  <c r="AN42" i="26" s="1"/>
  <c r="AV42" i="26" s="1"/>
  <c r="AZ42" i="26" s="1"/>
  <c r="AN25" i="26"/>
  <c r="AV25" i="26" s="1"/>
  <c r="AZ25" i="26" s="1"/>
  <c r="G51" i="28"/>
  <c r="AW51" i="28" s="1"/>
  <c r="BA51" i="28" s="1"/>
  <c r="AV14" i="1"/>
  <c r="AZ14" i="1" s="1"/>
  <c r="AO32" i="26"/>
  <c r="AO25" i="26"/>
  <c r="AO23" i="27"/>
  <c r="AO21" i="27"/>
  <c r="R21" i="27"/>
  <c r="AV21" i="27" s="1"/>
  <c r="AZ21" i="27" s="1"/>
  <c r="R23" i="27"/>
  <c r="AV23" i="27" s="1"/>
  <c r="AZ23" i="27" s="1"/>
  <c r="AH23" i="27"/>
  <c r="AH21" i="27"/>
  <c r="I51" i="28"/>
  <c r="AN23" i="27"/>
  <c r="AN21" i="27"/>
  <c r="C26" i="11"/>
  <c r="AW26" i="11" s="1"/>
  <c r="BA26" i="11" s="1"/>
  <c r="AW13" i="11"/>
  <c r="BA13" i="11" s="1"/>
  <c r="AZ34" i="6"/>
  <c r="AI23" i="27"/>
  <c r="AW23" i="27" s="1"/>
  <c r="BA23" i="27" s="1"/>
  <c r="AI21" i="27"/>
  <c r="AW21" i="27" s="1"/>
  <c r="BA21" i="27" s="1"/>
  <c r="B51" i="28"/>
  <c r="AV51" i="28" s="1"/>
  <c r="AZ51" i="28" s="1"/>
  <c r="AV47" i="28"/>
  <c r="AZ47" i="28" s="1"/>
  <c r="AY42" i="26"/>
  <c r="AW25" i="26" l="1"/>
  <c r="BA25" i="26" s="1"/>
  <c r="AW32" i="26"/>
  <c r="BA32" i="26" s="1"/>
  <c r="BA42" i="26"/>
  <c r="AS25" i="26"/>
  <c r="AS32" i="26" s="1"/>
  <c r="AW22" i="26"/>
  <c r="BA22" i="26" s="1"/>
  <c r="AV32" i="26"/>
  <c r="AZ32" i="26" s="1"/>
</calcChain>
</file>

<file path=xl/sharedStrings.xml><?xml version="1.0" encoding="utf-8"?>
<sst xmlns="http://schemas.openxmlformats.org/spreadsheetml/2006/main" count="1738" uniqueCount="450">
  <si>
    <t>Particulars</t>
  </si>
  <si>
    <t>Private Total</t>
  </si>
  <si>
    <t>Grand Total</t>
  </si>
  <si>
    <t>Individual agents</t>
  </si>
  <si>
    <t>Corporate Agents-Banks</t>
  </si>
  <si>
    <t>Corporate Agents -Others</t>
  </si>
  <si>
    <t>Brokers</t>
  </si>
  <si>
    <t>Micro Agents</t>
  </si>
  <si>
    <t>Direct Business</t>
  </si>
  <si>
    <t>Others (only)</t>
  </si>
  <si>
    <t>Total(A)</t>
  </si>
  <si>
    <t>Referral  (B)</t>
  </si>
  <si>
    <t>Grand Total (A+B)</t>
  </si>
  <si>
    <t>L37:BUSINESS ACQUISITION THROUGH DIFFERENT CHANNELS (GROUP) Lives</t>
  </si>
  <si>
    <t>Channels</t>
  </si>
  <si>
    <t>CSC</t>
  </si>
  <si>
    <t>POS</t>
  </si>
  <si>
    <t>IMF</t>
  </si>
  <si>
    <t>Online</t>
  </si>
  <si>
    <t>Web Aggregators</t>
  </si>
  <si>
    <t>Total (A)</t>
  </si>
  <si>
    <t>Premiums earned - Net</t>
  </si>
  <si>
    <t>(a) Premium</t>
  </si>
  <si>
    <t>Direct   -  First year premiums</t>
  </si>
  <si>
    <t xml:space="preserve">           -  Renewal premiums</t>
  </si>
  <si>
    <t xml:space="preserve">           -  Single premiums</t>
  </si>
  <si>
    <t>Total premium</t>
  </si>
  <si>
    <t>Premium Income from business written:</t>
  </si>
  <si>
    <t>- In India</t>
  </si>
  <si>
    <t>- Outside India</t>
  </si>
  <si>
    <t>Insurance claims</t>
  </si>
  <si>
    <t>(a) Claims by death</t>
  </si>
  <si>
    <t>(b) Claims by maturity</t>
  </si>
  <si>
    <t>(c) Annuities  /  Pension payment</t>
  </si>
  <si>
    <t>(d) Others</t>
  </si>
  <si>
    <t>Survival Benefits</t>
  </si>
  <si>
    <t xml:space="preserve">- Surrender </t>
  </si>
  <si>
    <t xml:space="preserve">- Discontinuance/Lapsed Termination </t>
  </si>
  <si>
    <t xml:space="preserve">- Withdrawals </t>
  </si>
  <si>
    <t xml:space="preserve">- Rider </t>
  </si>
  <si>
    <t xml:space="preserve">- Health </t>
  </si>
  <si>
    <t>Lumpsum Benefit/Income Benefit(Installment)</t>
  </si>
  <si>
    <t>Bonus to Policyholders</t>
  </si>
  <si>
    <t>Vesting of pension policy</t>
  </si>
  <si>
    <t>Waiver of Premium</t>
  </si>
  <si>
    <t xml:space="preserve">- Interest on unclaimed amounts  </t>
  </si>
  <si>
    <t>Claim Investigation Fees</t>
  </si>
  <si>
    <t xml:space="preserve">- Others </t>
  </si>
  <si>
    <t>(Amount ceded in reinsurance)</t>
  </si>
  <si>
    <t>(c) Annuities  /  pension payment</t>
  </si>
  <si>
    <t>(d) Other benefits/Health</t>
  </si>
  <si>
    <t>(e) Riders</t>
  </si>
  <si>
    <t>Amount accepted in reinsurance</t>
  </si>
  <si>
    <t>(d) Other benefits</t>
  </si>
  <si>
    <t>Total</t>
  </si>
  <si>
    <t>Benefits paid to Claimants</t>
  </si>
  <si>
    <t>In India</t>
  </si>
  <si>
    <t>Outside India</t>
  </si>
  <si>
    <t>L4:PREMIUM SCHEDULE</t>
  </si>
  <si>
    <t>Commission</t>
  </si>
  <si>
    <t>Direct    -  First year premiums</t>
  </si>
  <si>
    <t xml:space="preserve">              -  Renewal premiums</t>
  </si>
  <si>
    <t xml:space="preserve">              -  Single premiums</t>
  </si>
  <si>
    <t>Add: Commission on Re-insurance accepted</t>
  </si>
  <si>
    <t>Less: Commission on Re-insurance ceded</t>
  </si>
  <si>
    <t>Net commission</t>
  </si>
  <si>
    <t xml:space="preserve">Break-up of the commission expenses (Gross) </t>
  </si>
  <si>
    <t>incurred to procure business:</t>
  </si>
  <si>
    <t>Agents</t>
  </si>
  <si>
    <t>Corporate agency</t>
  </si>
  <si>
    <t>Bancassurance</t>
  </si>
  <si>
    <t>Micro Insurance Agent</t>
  </si>
  <si>
    <t>Web Aggregator</t>
  </si>
  <si>
    <t>Referral</t>
  </si>
  <si>
    <t>Others</t>
  </si>
  <si>
    <t xml:space="preserve">Employees' remuneration &amp; welfare benefits </t>
  </si>
  <si>
    <t>Travel, conveyance and vehicle running expenses</t>
  </si>
  <si>
    <t>Training expenses</t>
  </si>
  <si>
    <t xml:space="preserve">Rent, rates &amp; taxes </t>
  </si>
  <si>
    <t>Repairs</t>
  </si>
  <si>
    <t>Printing &amp; stationery</t>
  </si>
  <si>
    <t>Communication expenses</t>
  </si>
  <si>
    <t>Legal &amp; professional charges</t>
  </si>
  <si>
    <t>Medical fees</t>
  </si>
  <si>
    <t>Auditors' fees,expenses,etc.</t>
  </si>
  <si>
    <t>(a) as auditor</t>
  </si>
  <si>
    <t>(b) as adviser or in any other capacity,in respect of</t>
  </si>
  <si>
    <t xml:space="preserve">      (i) Taxation matters</t>
  </si>
  <si>
    <t xml:space="preserve">      (ii) Insurance matters</t>
  </si>
  <si>
    <t xml:space="preserve">      (iii)Management services; certification fee</t>
  </si>
  <si>
    <t>(c) in any other capacity</t>
  </si>
  <si>
    <t xml:space="preserve">(d) Out of pocket expenses </t>
  </si>
  <si>
    <t>Advertisement, Publicity and marketing</t>
  </si>
  <si>
    <t>Interest &amp; bank charges</t>
  </si>
  <si>
    <t xml:space="preserve">Agent Recruitment expenses </t>
  </si>
  <si>
    <t>Information technology expenses</t>
  </si>
  <si>
    <t>Goods and Service Tax/ Service Tax</t>
  </si>
  <si>
    <t>Stamp duty on policies</t>
  </si>
  <si>
    <t>Depreciation</t>
  </si>
  <si>
    <t>(Profit)/Loss on sale of Assests</t>
  </si>
  <si>
    <t>Distribution Expenses</t>
  </si>
  <si>
    <t>Business promotion expenses</t>
  </si>
  <si>
    <t>Business Processing Services</t>
  </si>
  <si>
    <t xml:space="preserve">Office Expenses </t>
  </si>
  <si>
    <t>Electricity</t>
  </si>
  <si>
    <t xml:space="preserve">Recruitment expenses </t>
  </si>
  <si>
    <t>Other expenses</t>
  </si>
  <si>
    <t>outsourcing expenses</t>
  </si>
  <si>
    <t>Contribution from Sharehoders Account towards Expense of Management</t>
  </si>
  <si>
    <t>L-32:SOLVENCY MARGIN</t>
  </si>
  <si>
    <t>Description</t>
  </si>
  <si>
    <t>Available Assets in Policyholders' Fund:</t>
  </si>
  <si>
    <t>Deduct:</t>
  </si>
  <si>
    <t xml:space="preserve">Mathematical Reserves </t>
  </si>
  <si>
    <t xml:space="preserve">Other Liabilities </t>
  </si>
  <si>
    <t xml:space="preserve">Available Assets in Shareholders Fund: </t>
  </si>
  <si>
    <t>Other Liabilities of shareholders' fund</t>
  </si>
  <si>
    <t>Total ASM (04)+(07)</t>
  </si>
  <si>
    <t>Total RSM</t>
  </si>
  <si>
    <t>Solvency Ratio (ASM/RSM)</t>
  </si>
  <si>
    <r>
      <rPr>
        <sz val="9"/>
        <rFont val="Comic Sans MS"/>
        <family val="4"/>
      </rPr>
      <t>Surplus/ (Deficit) from Policyholders Accounts</t>
    </r>
  </si>
  <si>
    <r>
      <rPr>
        <sz val="9"/>
        <rFont val="Comic Sans MS"/>
        <family val="4"/>
      </rPr>
      <t>Income from Investments</t>
    </r>
  </si>
  <si>
    <r>
      <rPr>
        <sz val="9"/>
        <rFont val="Comic Sans MS"/>
        <family val="4"/>
      </rPr>
      <t>(a) Interest, Dividend &amp; Rent -  Gross</t>
    </r>
  </si>
  <si>
    <r>
      <rPr>
        <sz val="9"/>
        <rFont val="Comic Sans MS"/>
        <family val="4"/>
      </rPr>
      <t>(b) Profit on sale / redemption of investments</t>
    </r>
  </si>
  <si>
    <r>
      <rPr>
        <sz val="9"/>
        <rFont val="Comic Sans MS"/>
        <family val="4"/>
      </rPr>
      <t>(c) (Loss on sale / redemption of investments)</t>
    </r>
  </si>
  <si>
    <r>
      <rPr>
        <sz val="9"/>
        <rFont val="Comic Sans MS"/>
        <family val="4"/>
      </rPr>
      <t>(d) Accretion of discount/(amortisation of premium) (net)</t>
    </r>
  </si>
  <si>
    <r>
      <rPr>
        <sz val="9"/>
        <rFont val="Comic Sans MS"/>
        <family val="4"/>
      </rPr>
      <t>Other Income</t>
    </r>
  </si>
  <si>
    <r>
      <rPr>
        <sz val="9"/>
        <rFont val="Comic Sans MS"/>
        <family val="4"/>
      </rPr>
      <t>Expenses other than those directly related to the insurance business</t>
    </r>
  </si>
  <si>
    <r>
      <rPr>
        <sz val="9"/>
        <rFont val="Comic Sans MS"/>
        <family val="4"/>
      </rPr>
      <t>(a) Rates and Taxes</t>
    </r>
  </si>
  <si>
    <r>
      <rPr>
        <sz val="9"/>
        <rFont val="Comic Sans MS"/>
        <family val="4"/>
      </rPr>
      <t>(b) Directors' Sitting Fees</t>
    </r>
  </si>
  <si>
    <r>
      <rPr>
        <sz val="9"/>
        <rFont val="Comic Sans MS"/>
        <family val="4"/>
      </rPr>
      <t>(c) Board Meeting Related Expenses</t>
    </r>
  </si>
  <si>
    <r>
      <rPr>
        <sz val="9"/>
        <rFont val="Comic Sans MS"/>
        <family val="4"/>
      </rPr>
      <t>(d) Depreciation</t>
    </r>
  </si>
  <si>
    <r>
      <rPr>
        <sz val="9"/>
        <rFont val="Comic Sans MS"/>
        <family val="4"/>
      </rPr>
      <t>(e) Other expenses</t>
    </r>
  </si>
  <si>
    <r>
      <rPr>
        <sz val="9"/>
        <rFont val="Comic Sans MS"/>
        <family val="4"/>
      </rPr>
      <t>(f) Corporate Social Responsibility expenses</t>
    </r>
  </si>
  <si>
    <r>
      <rPr>
        <sz val="9"/>
        <rFont val="Comic Sans MS"/>
        <family val="4"/>
      </rPr>
      <t>Bad debts written off</t>
    </r>
  </si>
  <si>
    <r>
      <rPr>
        <sz val="9"/>
        <rFont val="Comic Sans MS"/>
        <family val="4"/>
      </rPr>
      <t>Contribution to the Policyholders' Fund</t>
    </r>
  </si>
  <si>
    <r>
      <rPr>
        <sz val="9"/>
        <rFont val="Comic Sans MS"/>
        <family val="4"/>
      </rPr>
      <t>Provisions (Other than taxation)</t>
    </r>
  </si>
  <si>
    <r>
      <rPr>
        <sz val="9"/>
        <rFont val="Comic Sans MS"/>
        <family val="4"/>
      </rPr>
      <t>(a) For diminution in the value of investment (net)</t>
    </r>
  </si>
  <si>
    <r>
      <rPr>
        <sz val="9"/>
        <rFont val="Comic Sans MS"/>
        <family val="4"/>
      </rPr>
      <t>(b) Provision for doubtful debts</t>
    </r>
  </si>
  <si>
    <r>
      <rPr>
        <sz val="9"/>
        <rFont val="Comic Sans MS"/>
        <family val="4"/>
      </rPr>
      <t>Profit / (Loss) before tax</t>
    </r>
  </si>
  <si>
    <r>
      <rPr>
        <sz val="9"/>
        <rFont val="Comic Sans MS"/>
        <family val="4"/>
      </rPr>
      <t>Provision for Taxation</t>
    </r>
  </si>
  <si>
    <t>Deferred Tax credit/(charge)</t>
  </si>
  <si>
    <r>
      <rPr>
        <sz val="9"/>
        <rFont val="Comic Sans MS"/>
        <family val="4"/>
      </rPr>
      <t>-Income Tax</t>
    </r>
  </si>
  <si>
    <t>APPROPRIATIONS</t>
  </si>
  <si>
    <r>
      <rPr>
        <sz val="9"/>
        <rFont val="Comic Sans MS"/>
        <family val="4"/>
      </rPr>
      <t>(a) Balance at the beginning of the period</t>
    </r>
  </si>
  <si>
    <t>(c) Proposed final/interim dividend</t>
  </si>
  <si>
    <r>
      <rPr>
        <sz val="9"/>
        <rFont val="Comic Sans MS"/>
        <family val="4"/>
      </rPr>
      <t>(d) Dividend distribution tax</t>
    </r>
  </si>
  <si>
    <r>
      <rPr>
        <sz val="9"/>
        <rFont val="Comic Sans MS"/>
        <family val="4"/>
      </rPr>
      <t>(e) Transfer to reserves / other accounts</t>
    </r>
  </si>
  <si>
    <t>Profit / (Loss) carried to the Balance Sheet</t>
  </si>
  <si>
    <r>
      <rPr>
        <b/>
        <sz val="9"/>
        <rFont val="Comic Sans MS"/>
        <family val="4"/>
      </rPr>
      <t>EARNINGS</t>
    </r>
    <r>
      <rPr>
        <sz val="9"/>
        <rFont val="Comic Sans MS"/>
        <family val="4"/>
      </rPr>
      <t xml:space="preserve"> </t>
    </r>
    <r>
      <rPr>
        <b/>
        <sz val="9"/>
        <rFont val="Comic Sans MS"/>
        <family val="4"/>
      </rPr>
      <t>PER</t>
    </r>
    <r>
      <rPr>
        <sz val="9"/>
        <rFont val="Comic Sans MS"/>
        <family val="4"/>
      </rPr>
      <t xml:space="preserve"> </t>
    </r>
    <r>
      <rPr>
        <b/>
        <sz val="9"/>
        <rFont val="Comic Sans MS"/>
        <family val="4"/>
      </rPr>
      <t>EQUITY</t>
    </r>
    <r>
      <rPr>
        <sz val="9"/>
        <rFont val="Comic Sans MS"/>
        <family val="4"/>
      </rPr>
      <t xml:space="preserve"> </t>
    </r>
    <r>
      <rPr>
        <b/>
        <sz val="9"/>
        <rFont val="Comic Sans MS"/>
        <family val="4"/>
      </rPr>
      <t>SHARE</t>
    </r>
    <r>
      <rPr>
        <sz val="9"/>
        <rFont val="Comic Sans MS"/>
        <family val="4"/>
      </rPr>
      <t xml:space="preserve"> </t>
    </r>
    <r>
      <rPr>
        <b/>
        <sz val="9"/>
        <rFont val="Comic Sans MS"/>
        <family val="4"/>
      </rPr>
      <t>(in</t>
    </r>
    <r>
      <rPr>
        <sz val="9"/>
        <rFont val="Comic Sans MS"/>
        <family val="4"/>
      </rPr>
      <t xml:space="preserve"> `</t>
    </r>
    <r>
      <rPr>
        <b/>
        <sz val="9"/>
        <rFont val="Comic Sans MS"/>
        <family val="4"/>
      </rPr>
      <t>)</t>
    </r>
  </si>
  <si>
    <r>
      <rPr>
        <sz val="9"/>
        <rFont val="Comic Sans MS"/>
        <family val="4"/>
      </rPr>
      <t>(Face Value ` 10/- per share)</t>
    </r>
  </si>
  <si>
    <t>Basic</t>
  </si>
  <si>
    <t>Diluted</t>
  </si>
  <si>
    <t>L2:PROFIT &amp; LOSS ACCOUNT</t>
  </si>
  <si>
    <t>L5:COMMISSION SCHEDULE</t>
  </si>
  <si>
    <t>L7:BENEFITS PAID SCHEDULE</t>
  </si>
  <si>
    <t>L6:Operating Expenses Schedule Related to Insurance Business</t>
  </si>
  <si>
    <t>Figures in Crores</t>
  </si>
  <si>
    <t xml:space="preserve">L38:BUSINESS ACQUISITION (Individual) Number of Policies </t>
  </si>
  <si>
    <t>Aditya Birla Sun Life Insurance Company Limited</t>
  </si>
  <si>
    <t>Aegon Life Insurance Company Limited</t>
  </si>
  <si>
    <t>Aviva Life Insurance Company India Private Limited</t>
  </si>
  <si>
    <t>Bajaj Allianz Life Insurance Company Limited</t>
  </si>
  <si>
    <t>Bharti AXA Life Insurance Private Limited</t>
  </si>
  <si>
    <t>Canara HSBC Oriental Bank of Commerce Life Insurance Company Limited</t>
  </si>
  <si>
    <t>Edelweiss Tokio Life Insurance Company Limited</t>
  </si>
  <si>
    <t>Exide life Insurance Company Limited</t>
  </si>
  <si>
    <t>Future Generali India Life Insurance Company Limited</t>
  </si>
  <si>
    <t>HDFC Life Insurance Company Limited</t>
  </si>
  <si>
    <t>ICICI Prudential Life Insurance Company Limited</t>
  </si>
  <si>
    <t>IndiaFirst Life Insurance Company Limited</t>
  </si>
  <si>
    <t>Kotak Mahindra Life Insurance Company Limited</t>
  </si>
  <si>
    <t>Max Life Insurance Company Limited</t>
  </si>
  <si>
    <t>PNB MetLife India Insurance Company Limited</t>
  </si>
  <si>
    <t>Reliance Nippon Life Insurance Company Limited</t>
  </si>
  <si>
    <t>Sahara India Life Insurance Company Limited</t>
  </si>
  <si>
    <t>SBI Life Insurance Company Limited</t>
  </si>
  <si>
    <t>Shriram Life Insurance Company Limited</t>
  </si>
  <si>
    <t>Star Union Dai-ichi Life Insurance Company Limited</t>
  </si>
  <si>
    <t>Tata AIA Life Insurance Company Limited</t>
  </si>
  <si>
    <t>Life Insurance Corporation of India</t>
  </si>
  <si>
    <t xml:space="preserve">Edelweiss Tokio Life Insurance Company Limited </t>
  </si>
  <si>
    <t xml:space="preserve">Excess in  Policyholders' funds </t>
  </si>
  <si>
    <t xml:space="preserve">Excess in Shareholders' funds </t>
  </si>
  <si>
    <t>online</t>
  </si>
  <si>
    <t>(c) Others-Provision</t>
  </si>
  <si>
    <t>L-4</t>
  </si>
  <si>
    <t>(b) Reinsurance ceded</t>
  </si>
  <si>
    <t>(c) Reinsurance accepted</t>
  </si>
  <si>
    <t>SUB - TOTAL</t>
  </si>
  <si>
    <t>Income from investments</t>
  </si>
  <si>
    <t>(a) Interest, Dividends &amp; Rent - Gross</t>
  </si>
  <si>
    <t>(b) Profit on sale / redemption of investments</t>
  </si>
  <si>
    <t>(c) (Loss on sale / redemption of investments)</t>
  </si>
  <si>
    <t>(d) Transfer /Gain on revaluation / change in fair value*</t>
  </si>
  <si>
    <t>(e) Accretion of discount/(amortisation of premium) (Net)</t>
  </si>
  <si>
    <t xml:space="preserve">Other income  </t>
  </si>
  <si>
    <t>(a) Contribution from the Shareholders' A/c</t>
  </si>
  <si>
    <t>(b) Income on unclaimed amount of policyholders</t>
  </si>
  <si>
    <t>(c) Miscellaneous income</t>
  </si>
  <si>
    <t>L-5</t>
  </si>
  <si>
    <t>Operating expenses related to insurance business</t>
  </si>
  <si>
    <t>L-6</t>
  </si>
  <si>
    <t>Provision for doubtful debts</t>
  </si>
  <si>
    <t>Bad debts written off</t>
  </si>
  <si>
    <t>Provision for tax</t>
  </si>
  <si>
    <t xml:space="preserve"> - Income tax</t>
  </si>
  <si>
    <t>Provisions (other than taxation)</t>
  </si>
  <si>
    <t xml:space="preserve">(a) For diminution in the value of investments (Net) </t>
  </si>
  <si>
    <t xml:space="preserve">(b) For standard assets </t>
  </si>
  <si>
    <t>Good and Service Tax charges on charges</t>
  </si>
  <si>
    <t>Total (B)</t>
  </si>
  <si>
    <t>Benefits paid (Net)</t>
  </si>
  <si>
    <t>L-7</t>
  </si>
  <si>
    <t xml:space="preserve">Interim &amp; Terminal bonuses paid </t>
  </si>
  <si>
    <t xml:space="preserve">Change in valuation of liability in respect of life policies </t>
  </si>
  <si>
    <t>(a) Gross**</t>
  </si>
  <si>
    <t>(b) Amount ceded in Re-insurance</t>
  </si>
  <si>
    <t>(c) Amount accepted in Re-insurance</t>
  </si>
  <si>
    <t>(d) Fund reserve</t>
  </si>
  <si>
    <t>(e) Funds for discontinued policies</t>
  </si>
  <si>
    <t>Total (C)</t>
  </si>
  <si>
    <t>SURPLUS/ (DEFICIT) (D) = [(A)-(B)-(C)]</t>
  </si>
  <si>
    <t>Balance of previous year</t>
  </si>
  <si>
    <t>Balance available for appropriation</t>
  </si>
  <si>
    <t>Transfer to Shareholders' account</t>
  </si>
  <si>
    <t xml:space="preserve">Transfer to other reserves </t>
  </si>
  <si>
    <t>Balance being Funds for Future Appropriations</t>
  </si>
  <si>
    <t>a) Interim &amp; Terminal bonuses paid</t>
  </si>
  <si>
    <t>b) Allocation of bonus to policyholders</t>
  </si>
  <si>
    <t>c) Surplus shown in the revenue account</t>
  </si>
  <si>
    <t>d) Total Surplus: [(a) + (b) + (c )]</t>
  </si>
  <si>
    <t>Linked</t>
  </si>
  <si>
    <t>Capital reserve</t>
  </si>
  <si>
    <t>Capital redemption reserve</t>
  </si>
  <si>
    <t>Share premium</t>
  </si>
  <si>
    <t>Revaluation reserve</t>
  </si>
  <si>
    <t>General reserves</t>
  </si>
  <si>
    <t>Less : Debit balance in Profit and Loss account, If any</t>
  </si>
  <si>
    <t>Less : Amount utililized for buy-back</t>
  </si>
  <si>
    <t>Catastrophe reserve</t>
  </si>
  <si>
    <t xml:space="preserve">Other reserves </t>
  </si>
  <si>
    <t>Balance of profit in Profit and Loss account</t>
  </si>
  <si>
    <t>Debentures / Bonds</t>
  </si>
  <si>
    <t>Banks</t>
  </si>
  <si>
    <t>Financial institutions</t>
  </si>
  <si>
    <t>Transfer to Balance Sheet being deficit in Revenue Account (Policyholders' account)</t>
  </si>
  <si>
    <t>Expenses in excess of Allowable Expense transferred to Shareholders Account</t>
  </si>
  <si>
    <t>(f) Provision for linked liabilities</t>
  </si>
  <si>
    <t>(g) Appreciation in unclaimed balances</t>
  </si>
  <si>
    <t>(f) Corporate Social Responsibility expenses</t>
  </si>
  <si>
    <t>(f) Unrealised Gains</t>
  </si>
  <si>
    <t>Transfer from Linked Fund (Lapsed policies)</t>
  </si>
  <si>
    <t>L37:BUSINESS ACQUISITION THROUGH DIFFERENT CHANNELS (GROUP) Premium</t>
  </si>
  <si>
    <t>L38::BUSINESS ACQUISITION THROUGH DIFFERENT CHANNELS (Individual) Premium</t>
  </si>
  <si>
    <t xml:space="preserve">PNB MetLife India Insurance Company Limited </t>
  </si>
  <si>
    <t>For Q1 1920</t>
  </si>
  <si>
    <t>Current Tax (Credit)/Charge</t>
  </si>
  <si>
    <t>Provision for current tax</t>
  </si>
  <si>
    <t>Total (E)</t>
  </si>
  <si>
    <t>(c)Others</t>
  </si>
  <si>
    <t xml:space="preserve">Bharti AXA Life Insurance Private Limited </t>
  </si>
  <si>
    <t xml:space="preserve">Star Union Dai-ichi Life Insurance Company Limited </t>
  </si>
  <si>
    <t xml:space="preserve">ICICI Prudential Life Insurance Company Limited </t>
  </si>
  <si>
    <t xml:space="preserve">Future Generali India Life Insurance Company Limited </t>
  </si>
  <si>
    <t xml:space="preserve">HDFC Life Insurance Company Limited </t>
  </si>
  <si>
    <t xml:space="preserve">Exide life Insurance Company Limited </t>
  </si>
  <si>
    <t xml:space="preserve">Aegon Life Insurance Company Limited </t>
  </si>
  <si>
    <r>
      <rPr>
        <b/>
        <sz val="9"/>
        <color indexed="30"/>
        <rFont val="Comic Sans MS"/>
        <family val="4"/>
      </rPr>
      <t>Total</t>
    </r>
    <r>
      <rPr>
        <sz val="9"/>
        <color indexed="30"/>
        <rFont val="Comic Sans MS"/>
        <family val="4"/>
      </rPr>
      <t xml:space="preserve"> </t>
    </r>
    <r>
      <rPr>
        <b/>
        <sz val="9"/>
        <color indexed="30"/>
        <rFont val="Comic Sans MS"/>
        <family val="4"/>
      </rPr>
      <t>(B)</t>
    </r>
  </si>
  <si>
    <t>SOURCES OF FUNDS</t>
  </si>
  <si>
    <t>Shareholders' Funds</t>
  </si>
  <si>
    <t>Credit/(Debit) Fair Value Change Account (Net)</t>
  </si>
  <si>
    <t>Sub-Total</t>
  </si>
  <si>
    <t>Policyholders' Funds:</t>
  </si>
  <si>
    <t>Policy Liabilities</t>
  </si>
  <si>
    <t>Insurance Reserves</t>
  </si>
  <si>
    <t>Linked Liabilities</t>
  </si>
  <si>
    <t>Fair value change</t>
  </si>
  <si>
    <t>Provision For Linked Liabilities</t>
  </si>
  <si>
    <t>Funds for Discontinued Policies</t>
  </si>
  <si>
    <t xml:space="preserve">   Discontinued on account of non-payment of premium</t>
  </si>
  <si>
    <t xml:space="preserve">   Others</t>
  </si>
  <si>
    <t>Funds For Future Appropriations</t>
  </si>
  <si>
    <t>Non Linked</t>
  </si>
  <si>
    <t>TOTAL</t>
  </si>
  <si>
    <t>APPLICATION OF FUNDS</t>
  </si>
  <si>
    <t>Investments</t>
  </si>
  <si>
    <t>Current Assets</t>
  </si>
  <si>
    <t>Sub-Total (A)</t>
  </si>
  <si>
    <t>Sub-Total (B)</t>
  </si>
  <si>
    <t>Net Current Assets (C) = (A - B)</t>
  </si>
  <si>
    <t xml:space="preserve">Miscellaneous Expenditure </t>
  </si>
  <si>
    <t>(To the extent not written off or adjusted)</t>
  </si>
  <si>
    <t>Debit Balance of Profit and Loss Account</t>
  </si>
  <si>
    <t>Deficit in the Revenue Account (Policyholders' Account)</t>
  </si>
  <si>
    <t>CONTINGENT LIABILITIES</t>
  </si>
  <si>
    <t>Partly paid - up investments</t>
  </si>
  <si>
    <t>Claims, other than against policies, not acknowledged as debts by the Company</t>
  </si>
  <si>
    <t>Underwriting commitments outstanding</t>
  </si>
  <si>
    <t>Guarantees given by or on behalf of the Company</t>
  </si>
  <si>
    <t>Reinsurance obligations to the extent not provided for in accounts</t>
  </si>
  <si>
    <t>Credit/(Debit) Fair Value Change Account (Linked)</t>
  </si>
  <si>
    <t>Total Linked Liabilities</t>
  </si>
  <si>
    <t>Advances And Other Assets L18</t>
  </si>
  <si>
    <t>In relation to Claims against policies</t>
  </si>
  <si>
    <t xml:space="preserve">Statutory demands/ liabilities in dispute, not provided for </t>
  </si>
  <si>
    <t>Share Application Money pending Allotment</t>
  </si>
  <si>
    <t>Surplus on Policy Holder's  A/c</t>
  </si>
  <si>
    <t>Credit/(Debit) Fair Value Change A/c (Linked)Change Account (Net)</t>
  </si>
  <si>
    <t>Deferred Tax Assets</t>
  </si>
  <si>
    <t>Non Linked Liabilities</t>
  </si>
  <si>
    <t>Revaluation Reserve-Investment Property</t>
  </si>
  <si>
    <t>For Q1 2021</t>
  </si>
  <si>
    <t>Rewards &amp; Remuneration to Agents</t>
  </si>
  <si>
    <t>Total Commission and Rewards &amp; remuneration</t>
  </si>
  <si>
    <t>Pramerica Life Insurance Company Limited</t>
  </si>
  <si>
    <t xml:space="preserve"> Pramerica Life Insurance Company Limited</t>
  </si>
  <si>
    <t>Deffered Tax Liability</t>
  </si>
  <si>
    <t xml:space="preserve">HDFC Life Insurance Company Limited (Lac) </t>
  </si>
  <si>
    <t>Future Generali India Life Insurance Company Limited (Lac)</t>
  </si>
  <si>
    <t>Exide life Insurance Company Limited (Lac)</t>
  </si>
  <si>
    <t>For Q1 2122</t>
  </si>
  <si>
    <t>Audited as at 30th June 2021</t>
  </si>
  <si>
    <t>AS at 30.06.2021</t>
  </si>
  <si>
    <t>Adjusted Value June 2021</t>
  </si>
  <si>
    <t>Ageas Federal Life Insurance Company Limited</t>
  </si>
  <si>
    <t xml:space="preserve">Ageas Federal Life Insurance Company Limited </t>
  </si>
  <si>
    <t>Form L-15-Loans Schedule  (` in 'Lakhs)</t>
  </si>
  <si>
    <t>SECURITY WISE CLASSIFICATION</t>
  </si>
  <si>
    <t>Secured</t>
  </si>
  <si>
    <t>-</t>
  </si>
  <si>
    <t>(a)   On mortgage of property</t>
  </si>
  <si>
    <t xml:space="preserve">          (aa)   In India</t>
  </si>
  <si>
    <t xml:space="preserve">          (bb)  Outside India</t>
  </si>
  <si>
    <t>(b)  On Shares, Bonds, Govt Securities etc</t>
  </si>
  <si>
    <t>(c)  Loans against policies</t>
  </si>
  <si>
    <t>(d)  Others</t>
  </si>
  <si>
    <t>Unsecured</t>
  </si>
  <si>
    <t>Provision for Doubtful Debts</t>
  </si>
  <si>
    <t>BORROWER - WISE CLASSIFICATION</t>
  </si>
  <si>
    <t>(a)  Central and State Governments</t>
  </si>
  <si>
    <t>(b)  Banks and Financial institutions</t>
  </si>
  <si>
    <t>(c )  Subsidiaries</t>
  </si>
  <si>
    <t>(d)  Companies</t>
  </si>
  <si>
    <t>(e)   Loans against policies</t>
  </si>
  <si>
    <t>(f)   Others</t>
  </si>
  <si>
    <t>PERFORMANCE - WISE CLASSIFICATION</t>
  </si>
  <si>
    <t>(a)  Loans classified as standard</t>
  </si>
  <si>
    <t xml:space="preserve">        (aa)  In India</t>
  </si>
  <si>
    <t xml:space="preserve">        (bb) Outside India</t>
  </si>
  <si>
    <t>Provision for Standard Loans</t>
  </si>
  <si>
    <t>(b)  Non - standard loans less provisions</t>
  </si>
  <si>
    <t xml:space="preserve">        (bb)  Outside India</t>
  </si>
  <si>
    <t>Provision for Non Standard Loans</t>
  </si>
  <si>
    <t>MATURITY - WISE CLASSIFICATION</t>
  </si>
  <si>
    <t>(a)  Short Term</t>
  </si>
  <si>
    <t xml:space="preserve">        In India</t>
  </si>
  <si>
    <t xml:space="preserve">        Outside India</t>
  </si>
  <si>
    <t>Provision for Short Term</t>
  </si>
  <si>
    <t>(b)  Long Term</t>
  </si>
  <si>
    <t>Provision for Long Term</t>
  </si>
  <si>
    <t>Form L-17-Cash and Bank Balance Schedule (` in 'Lakh)</t>
  </si>
  <si>
    <t>Cash (including cheques,drafts and stamps)</t>
  </si>
  <si>
    <t>Bank balances</t>
  </si>
  <si>
    <t xml:space="preserve">          (a) Deposit accounts</t>
  </si>
  <si>
    <t xml:space="preserve">               (aa) Short-term (due within 12 months of the date of Balance Sheet)</t>
  </si>
  <si>
    <t xml:space="preserve">               (bb) Others</t>
  </si>
  <si>
    <t xml:space="preserve">          (b) Current accounts*</t>
  </si>
  <si>
    <t xml:space="preserve">          (c) Others</t>
  </si>
  <si>
    <t xml:space="preserve">          (d) Unclaimed Dividend Accounts </t>
  </si>
  <si>
    <t>Money at call and short notice</t>
  </si>
  <si>
    <t xml:space="preserve">          (a) With banks</t>
  </si>
  <si>
    <t xml:space="preserve">          (b) With other institutions</t>
  </si>
  <si>
    <t>(c) Ohers-REPOS</t>
  </si>
  <si>
    <t>(d) CBLO</t>
  </si>
  <si>
    <t xml:space="preserve"> Total</t>
  </si>
  <si>
    <t>Balances with non-scheduled banks included above</t>
  </si>
  <si>
    <t>Cash and bank balances</t>
  </si>
  <si>
    <t xml:space="preserve">   Total</t>
  </si>
  <si>
    <t>Break-up of cash ( including cheques , drafts and stamps) :</t>
  </si>
  <si>
    <t>Cash in hand</t>
  </si>
  <si>
    <t>Postal franking &amp; Revenue Stamps</t>
  </si>
  <si>
    <t>Cheques in hand</t>
  </si>
  <si>
    <t>For Q1 2223</t>
  </si>
  <si>
    <t>Audited as at 30th June 2022</t>
  </si>
  <si>
    <t>As at 30th June,2021</t>
  </si>
  <si>
    <t>As at 30th June,2022</t>
  </si>
  <si>
    <t>Adjusted Value June 2022</t>
  </si>
  <si>
    <t>AS at 30.06.2022</t>
  </si>
  <si>
    <t>(in Lakh)</t>
  </si>
  <si>
    <t>Upto Q1 2223</t>
  </si>
  <si>
    <t>Upto Q1 2122</t>
  </si>
  <si>
    <t>L1:REVENUE ACCOUNT Figures in 'Lakh'</t>
  </si>
  <si>
    <t>DB-Online(Company website)</t>
  </si>
  <si>
    <t>DB-Others</t>
  </si>
  <si>
    <t>(Amount in 'Lakh)</t>
  </si>
  <si>
    <t>(b) Interim/Final dividend paid during the period</t>
  </si>
  <si>
    <t>.</t>
  </si>
  <si>
    <t>Adjusted Value June 2022 In Lakhs</t>
  </si>
  <si>
    <r>
      <t xml:space="preserve">Share Capital </t>
    </r>
    <r>
      <rPr>
        <b/>
        <sz val="9"/>
        <color indexed="8"/>
        <rFont val="Comic Sans MS"/>
        <family val="4"/>
      </rPr>
      <t>L8</t>
    </r>
  </si>
  <si>
    <r>
      <t>Reserves And Surplus</t>
    </r>
    <r>
      <rPr>
        <b/>
        <sz val="9"/>
        <color indexed="8"/>
        <rFont val="Comic Sans MS"/>
        <family val="4"/>
      </rPr>
      <t xml:space="preserve"> L10</t>
    </r>
  </si>
  <si>
    <r>
      <t xml:space="preserve">Borrowings </t>
    </r>
    <r>
      <rPr>
        <b/>
        <sz val="9"/>
        <color indexed="8"/>
        <rFont val="Comic Sans MS"/>
        <family val="4"/>
      </rPr>
      <t>L11</t>
    </r>
  </si>
  <si>
    <r>
      <t xml:space="preserve">Shareholders' </t>
    </r>
    <r>
      <rPr>
        <b/>
        <sz val="9"/>
        <color indexed="8"/>
        <rFont val="Comic Sans MS"/>
        <family val="4"/>
      </rPr>
      <t xml:space="preserve"> L12</t>
    </r>
  </si>
  <si>
    <r>
      <t xml:space="preserve">Policyholders'  </t>
    </r>
    <r>
      <rPr>
        <b/>
        <sz val="9"/>
        <color indexed="8"/>
        <rFont val="Comic Sans MS"/>
        <family val="4"/>
      </rPr>
      <t>L13</t>
    </r>
  </si>
  <si>
    <r>
      <t xml:space="preserve">Assets Held To Cover Linked Liabilities </t>
    </r>
    <r>
      <rPr>
        <b/>
        <sz val="9"/>
        <color indexed="8"/>
        <rFont val="Comic Sans MS"/>
        <family val="4"/>
      </rPr>
      <t>L14</t>
    </r>
  </si>
  <si>
    <r>
      <t>Loans</t>
    </r>
    <r>
      <rPr>
        <b/>
        <sz val="9"/>
        <color indexed="8"/>
        <rFont val="Comic Sans MS"/>
        <family val="4"/>
      </rPr>
      <t xml:space="preserve"> L15</t>
    </r>
  </si>
  <si>
    <r>
      <t xml:space="preserve">Fixed Assets </t>
    </r>
    <r>
      <rPr>
        <b/>
        <sz val="9"/>
        <color indexed="8"/>
        <rFont val="Comic Sans MS"/>
        <family val="4"/>
      </rPr>
      <t>L 16</t>
    </r>
  </si>
  <si>
    <r>
      <t xml:space="preserve">Cash and Bank Balances </t>
    </r>
    <r>
      <rPr>
        <b/>
        <sz val="9"/>
        <color indexed="8"/>
        <rFont val="Comic Sans MS"/>
        <family val="4"/>
      </rPr>
      <t>L17</t>
    </r>
  </si>
  <si>
    <r>
      <t xml:space="preserve">Current Liabilities </t>
    </r>
    <r>
      <rPr>
        <b/>
        <sz val="9"/>
        <color indexed="8"/>
        <rFont val="Comic Sans MS"/>
        <family val="4"/>
      </rPr>
      <t>L19</t>
    </r>
  </si>
  <si>
    <r>
      <t xml:space="preserve">Provisions </t>
    </r>
    <r>
      <rPr>
        <b/>
        <sz val="9"/>
        <color indexed="8"/>
        <rFont val="Comic Sans MS"/>
        <family val="4"/>
      </rPr>
      <t>L20</t>
    </r>
  </si>
  <si>
    <t>Profit / (Loss) after tax</t>
  </si>
  <si>
    <r>
      <rPr>
        <b/>
        <sz val="9"/>
        <color indexed="30"/>
        <rFont val="Comic Sans MS"/>
        <family val="4"/>
      </rPr>
      <t>Total (A)</t>
    </r>
  </si>
  <si>
    <t>Figures in 'Lakh'</t>
  </si>
  <si>
    <t>Form L-11 -Borrowings Schedule  (Amount in 'Lakh)</t>
  </si>
  <si>
    <t>Form L-10-Reserves and Surplus Schedule(Amount in 'Lakh')</t>
  </si>
  <si>
    <t>(in 'Lakh')</t>
  </si>
  <si>
    <t>L3-Balance Sheet In 'Lakh'</t>
  </si>
  <si>
    <t xml:space="preserve"> Insurer</t>
  </si>
  <si>
    <t>Policy Basis</t>
  </si>
  <si>
    <t>Annualized Premium Basis</t>
  </si>
  <si>
    <t>13 Month</t>
  </si>
  <si>
    <t>25 Month</t>
  </si>
  <si>
    <t>37 Month</t>
  </si>
  <si>
    <t>49 Month</t>
  </si>
  <si>
    <t>61 Month</t>
  </si>
  <si>
    <t xml:space="preserve">Aditya Birla Sun Life Insurance Co. Ltd </t>
  </si>
  <si>
    <t>Aegon Life Insurance Co. Ltd</t>
  </si>
  <si>
    <t>Aviva Life Insurance Co. Ltd</t>
  </si>
  <si>
    <t>Bajaj Allianz Life Insurance Co. Ltd</t>
  </si>
  <si>
    <t>Bharti AXA Life Insurance Co. Ltd</t>
  </si>
  <si>
    <t>Canara HSBC Life Insurance Co. Ltd</t>
  </si>
  <si>
    <t>Pramerica Life Insurance Co. Ltd</t>
  </si>
  <si>
    <t>Edelweiss Tokio Life Insurance Co. Ltd</t>
  </si>
  <si>
    <t>Exide Life Insurance Co. Ltd</t>
  </si>
  <si>
    <t>Future Generali Life Insurance Co. Ltd</t>
  </si>
  <si>
    <t>HDFC Standard Life Insurance Co. Ltd</t>
  </si>
  <si>
    <t>ICICI Prudential Life Insurance Co. Ltd</t>
  </si>
  <si>
    <t>Ageas Federal Life Insurance Co. Ltd</t>
  </si>
  <si>
    <t>India First Life Insurance Co. Ltd</t>
  </si>
  <si>
    <t>Kotak Mahindra Life Insurance Co. Ltd</t>
  </si>
  <si>
    <t>Max Life Insurance Co. Ltd</t>
  </si>
  <si>
    <t>PNB Met Life Insurance Co. Ltd</t>
  </si>
  <si>
    <t>Reliance Nippon Life Insurance Co. Ltd</t>
  </si>
  <si>
    <t>Sahara India Life Insurance Co. Ltd</t>
  </si>
  <si>
    <t>SBI Life Insurance Co. Ltd</t>
  </si>
  <si>
    <t>Shriram Life Insurance Co. Ltd</t>
  </si>
  <si>
    <t>Star Union Dai-ichi Life Insurance Co. Ltd</t>
  </si>
  <si>
    <t>Tata AIA Life Insurance Co. Ltd</t>
  </si>
  <si>
    <t>LIC of India</t>
  </si>
  <si>
    <t>PERSISTENCY OF LIFE INSURANCE POLICIES (in %) Upto 30th June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</si>
</sst>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#0"/>
  </numFmts>
  <fonts count="61" x14ac:knownFonts="1">
    <font>
      <sz val="11"/>
      <color theme="1"/>
      <name val="Calibri"/>
      <family val="2"/>
      <scheme val="minor"/>
    </font>
    <font>
      <b/>
      <sz val="9"/>
      <name val="Comic Sans MS"/>
      <family val="4"/>
    </font>
    <font>
      <b/>
      <sz val="10"/>
      <name val="Comic Sans MS"/>
      <family val="4"/>
    </font>
    <font>
      <b/>
      <sz val="8"/>
      <name val="Comic Sans MS"/>
      <family val="4"/>
    </font>
    <font>
      <sz val="9"/>
      <name val="Comic Sans MS"/>
      <family val="4"/>
    </font>
    <font>
      <sz val="10"/>
      <name val="Comic Sans MS"/>
      <family val="4"/>
    </font>
    <font>
      <b/>
      <i/>
      <sz val="9"/>
      <name val="Comic Sans MS"/>
      <family val="4"/>
    </font>
    <font>
      <sz val="11"/>
      <name val="Comic Sans MS"/>
      <family val="4"/>
    </font>
    <font>
      <b/>
      <sz val="9"/>
      <color indexed="30"/>
      <name val="Comic Sans MS"/>
      <family val="4"/>
    </font>
    <font>
      <sz val="9"/>
      <color indexed="30"/>
      <name val="Comic Sans MS"/>
      <family val="4"/>
    </font>
    <font>
      <sz val="8"/>
      <name val="Comic Sans MS"/>
      <family val="4"/>
    </font>
    <font>
      <b/>
      <sz val="9"/>
      <color indexed="8"/>
      <name val="Comic Sans MS"/>
      <family val="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omic Sans MS"/>
      <family val="4"/>
    </font>
    <font>
      <b/>
      <sz val="9"/>
      <color theme="1"/>
      <name val="Comic Sans MS"/>
      <family val="4"/>
    </font>
    <font>
      <b/>
      <sz val="9"/>
      <color rgb="FFFF0000"/>
      <name val="Comic Sans MS"/>
      <family val="4"/>
    </font>
    <font>
      <sz val="8"/>
      <color rgb="FF000000"/>
      <name val="Comic Sans MS"/>
      <family val="4"/>
    </font>
    <font>
      <sz val="9"/>
      <color rgb="FF000000"/>
      <name val="Comic Sans MS"/>
      <family val="4"/>
    </font>
    <font>
      <sz val="11"/>
      <color theme="1"/>
      <name val="Comic Sans MS"/>
      <family val="4"/>
    </font>
    <font>
      <sz val="10"/>
      <color theme="1"/>
      <name val="Comic Sans MS"/>
      <family val="4"/>
    </font>
    <font>
      <b/>
      <sz val="10"/>
      <color theme="1"/>
      <name val="Comic Sans MS"/>
      <family val="4"/>
    </font>
    <font>
      <b/>
      <sz val="8"/>
      <color theme="1"/>
      <name val="Comic Sans MS"/>
      <family val="4"/>
    </font>
    <font>
      <b/>
      <sz val="9"/>
      <color rgb="FF000000"/>
      <name val="Comic Sans MS"/>
      <family val="4"/>
    </font>
    <font>
      <sz val="8"/>
      <color theme="1"/>
      <name val="Comic Sans MS"/>
      <family val="4"/>
    </font>
    <font>
      <b/>
      <sz val="8"/>
      <color rgb="FF000000"/>
      <name val="Comic Sans MS"/>
      <family val="4"/>
    </font>
    <font>
      <b/>
      <sz val="9"/>
      <color theme="4"/>
      <name val="Comic Sans MS"/>
      <family val="4"/>
    </font>
    <font>
      <sz val="9"/>
      <color theme="4"/>
      <name val="Comic Sans MS"/>
      <family val="4"/>
    </font>
    <font>
      <b/>
      <sz val="8"/>
      <color theme="4"/>
      <name val="Comic Sans MS"/>
      <family val="4"/>
    </font>
    <font>
      <sz val="11"/>
      <color theme="4"/>
      <name val="Comic Sans MS"/>
      <family val="4"/>
    </font>
    <font>
      <b/>
      <sz val="10"/>
      <color theme="4"/>
      <name val="Comic Sans MS"/>
      <family val="4"/>
    </font>
    <font>
      <b/>
      <sz val="11"/>
      <color theme="4"/>
      <name val="Comic Sans MS"/>
      <family val="4"/>
    </font>
    <font>
      <sz val="9"/>
      <color theme="8"/>
      <name val="Comic Sans MS"/>
      <family val="4"/>
    </font>
    <font>
      <b/>
      <sz val="9"/>
      <color theme="8"/>
      <name val="Comic Sans MS"/>
      <family val="4"/>
    </font>
    <font>
      <sz val="11"/>
      <color theme="8"/>
      <name val="Comic Sans MS"/>
      <family val="4"/>
    </font>
    <font>
      <sz val="11"/>
      <color theme="8"/>
      <name val="Calibri"/>
      <family val="2"/>
      <scheme val="minor"/>
    </font>
    <font>
      <sz val="8"/>
      <color theme="8"/>
      <name val="Comic Sans MS"/>
      <family val="4"/>
    </font>
    <font>
      <b/>
      <sz val="8"/>
      <color theme="8"/>
      <name val="Comic Sans MS"/>
      <family val="4"/>
    </font>
    <font>
      <b/>
      <sz val="11"/>
      <color theme="8"/>
      <name val="Comic Sans MS"/>
      <family val="4"/>
    </font>
    <font>
      <b/>
      <sz val="10"/>
      <color theme="8"/>
      <name val="Comic Sans MS"/>
      <family val="4"/>
    </font>
    <font>
      <sz val="10"/>
      <color rgb="FF000000"/>
      <name val="Comic Sans MS"/>
      <family val="4"/>
    </font>
    <font>
      <sz val="8"/>
      <color rgb="FFFF0000"/>
      <name val="Comic Sans MS"/>
      <family val="4"/>
    </font>
    <font>
      <b/>
      <i/>
      <sz val="9"/>
      <color theme="1"/>
      <name val="Comic Sans MS"/>
      <family val="4"/>
    </font>
    <font>
      <b/>
      <sz val="9"/>
      <color rgb="FF0070C0"/>
      <name val="Comic Sans MS"/>
      <family val="4"/>
    </font>
    <font>
      <sz val="9"/>
      <color rgb="FF0070C0"/>
      <name val="Comic Sans MS"/>
      <family val="4"/>
    </font>
    <font>
      <b/>
      <sz val="8"/>
      <color rgb="FF0070C0"/>
      <name val="Comic Sans MS"/>
      <family val="4"/>
    </font>
    <font>
      <b/>
      <sz val="11"/>
      <color rgb="FF0070C0"/>
      <name val="Comic Sans MS"/>
      <family val="4"/>
    </font>
    <font>
      <b/>
      <sz val="10"/>
      <color rgb="FF0070C0"/>
      <name val="Comic Sans MS"/>
      <family val="4"/>
    </font>
    <font>
      <b/>
      <sz val="10"/>
      <color rgb="FF000000"/>
      <name val="Comic Sans MS"/>
      <family val="4"/>
    </font>
    <font>
      <i/>
      <sz val="8"/>
      <color rgb="FF000000"/>
      <name val="Comic Sans MS"/>
      <family val="4"/>
    </font>
    <font>
      <sz val="8"/>
      <color rgb="FF0070C0"/>
      <name val="Comic Sans MS"/>
      <family val="4"/>
    </font>
    <font>
      <b/>
      <sz val="8"/>
      <color rgb="FFFF0000"/>
      <name val="Comic Sans MS"/>
      <family val="4"/>
    </font>
    <font>
      <sz val="10"/>
      <color rgb="FF0070C0"/>
      <name val="Comic Sans MS"/>
      <family val="4"/>
    </font>
    <font>
      <b/>
      <sz val="11"/>
      <color theme="1"/>
      <name val="Comic Sans MS"/>
      <family val="4"/>
    </font>
    <font>
      <b/>
      <sz val="8"/>
      <color rgb="FF002060"/>
      <name val="Comic Sans MS"/>
      <family val="4"/>
    </font>
    <font>
      <sz val="8"/>
      <color rgb="FF002060"/>
      <name val="Comic Sans MS"/>
      <family val="4"/>
    </font>
    <font>
      <sz val="11"/>
      <color theme="1"/>
      <name val="Arial"/>
      <family val="2"/>
    </font>
    <font>
      <b/>
      <i/>
      <sz val="9"/>
      <color theme="8"/>
      <name val="Comic Sans MS"/>
      <family val="4"/>
    </font>
    <font>
      <i/>
      <sz val="9"/>
      <color theme="1"/>
      <name val="Comic Sans MS"/>
      <family val="4"/>
    </font>
    <font>
      <b/>
      <u/>
      <sz val="11"/>
      <color theme="1"/>
      <name val="Comic Sans MS"/>
      <family val="4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1440">
    <xf numFmtId="0" fontId="0" fillId="0" borderId="0" xfId="0"/>
    <xf numFmtId="2" fontId="14" fillId="0" borderId="1" xfId="0" applyNumberFormat="1" applyFont="1" applyBorder="1" applyAlignment="1">
      <alignment horizontal="left"/>
    </xf>
    <xf numFmtId="2" fontId="14" fillId="0" borderId="2" xfId="0" applyNumberFormat="1" applyFont="1" applyBorder="1" applyAlignment="1">
      <alignment horizontal="left"/>
    </xf>
    <xf numFmtId="2" fontId="14" fillId="0" borderId="3" xfId="0" applyNumberFormat="1" applyFont="1" applyBorder="1" applyAlignment="1">
      <alignment horizontal="left"/>
    </xf>
    <xf numFmtId="2" fontId="15" fillId="0" borderId="1" xfId="0" applyNumberFormat="1" applyFont="1" applyBorder="1" applyAlignment="1">
      <alignment horizontal="left"/>
    </xf>
    <xf numFmtId="2" fontId="15" fillId="0" borderId="2" xfId="0" applyNumberFormat="1" applyFont="1" applyBorder="1" applyAlignment="1">
      <alignment horizontal="left"/>
    </xf>
    <xf numFmtId="2" fontId="15" fillId="0" borderId="3" xfId="0" applyNumberFormat="1" applyFont="1" applyBorder="1" applyAlignment="1">
      <alignment horizontal="left"/>
    </xf>
    <xf numFmtId="2" fontId="16" fillId="0" borderId="1" xfId="0" applyNumberFormat="1" applyFont="1" applyBorder="1" applyAlignment="1">
      <alignment horizontal="left"/>
    </xf>
    <xf numFmtId="2" fontId="16" fillId="0" borderId="2" xfId="0" applyNumberFormat="1" applyFont="1" applyBorder="1" applyAlignment="1">
      <alignment horizontal="left"/>
    </xf>
    <xf numFmtId="2" fontId="16" fillId="0" borderId="3" xfId="0" applyNumberFormat="1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0" fontId="14" fillId="0" borderId="0" xfId="0" applyFont="1" applyAlignment="1">
      <alignment horizontal="left"/>
    </xf>
    <xf numFmtId="1" fontId="14" fillId="0" borderId="2" xfId="0" applyNumberFormat="1" applyFont="1" applyBorder="1" applyAlignment="1">
      <alignment horizontal="left" vertical="center"/>
    </xf>
    <xf numFmtId="1" fontId="15" fillId="0" borderId="1" xfId="0" applyNumberFormat="1" applyFont="1" applyBorder="1" applyAlignment="1">
      <alignment horizontal="left" vertical="center"/>
    </xf>
    <xf numFmtId="1" fontId="15" fillId="0" borderId="4" xfId="0" applyNumberFormat="1" applyFont="1" applyBorder="1" applyAlignment="1">
      <alignment horizontal="left" vertical="center"/>
    </xf>
    <xf numFmtId="3" fontId="18" fillId="0" borderId="3" xfId="0" applyNumberFormat="1" applyFont="1" applyBorder="1" applyAlignment="1">
      <alignment horizontal="left"/>
    </xf>
    <xf numFmtId="1" fontId="14" fillId="0" borderId="2" xfId="0" applyNumberFormat="1" applyFont="1" applyBorder="1" applyAlignment="1">
      <alignment horizontal="left"/>
    </xf>
    <xf numFmtId="1" fontId="14" fillId="0" borderId="1" xfId="0" applyNumberFormat="1" applyFont="1" applyBorder="1" applyAlignment="1">
      <alignment horizontal="left"/>
    </xf>
    <xf numFmtId="1" fontId="14" fillId="0" borderId="4" xfId="0" applyNumberFormat="1" applyFont="1" applyBorder="1" applyAlignment="1">
      <alignment horizontal="left"/>
    </xf>
    <xf numFmtId="1" fontId="14" fillId="0" borderId="3" xfId="0" applyNumberFormat="1" applyFont="1" applyBorder="1" applyAlignment="1">
      <alignment horizontal="left"/>
    </xf>
    <xf numFmtId="1" fontId="14" fillId="0" borderId="4" xfId="0" applyNumberFormat="1" applyFont="1" applyFill="1" applyBorder="1" applyAlignment="1">
      <alignment horizontal="left"/>
    </xf>
    <xf numFmtId="1" fontId="14" fillId="0" borderId="2" xfId="1" applyNumberFormat="1" applyFont="1" applyBorder="1" applyAlignment="1">
      <alignment horizontal="left"/>
    </xf>
    <xf numFmtId="1" fontId="15" fillId="0" borderId="4" xfId="1" applyNumberFormat="1" applyFont="1" applyBorder="1" applyAlignment="1">
      <alignment horizontal="left"/>
    </xf>
    <xf numFmtId="1" fontId="15" fillId="0" borderId="2" xfId="1" applyNumberFormat="1" applyFont="1" applyBorder="1" applyAlignment="1">
      <alignment horizontal="left"/>
    </xf>
    <xf numFmtId="1" fontId="15" fillId="0" borderId="2" xfId="0" applyNumberFormat="1" applyFont="1" applyBorder="1" applyAlignment="1">
      <alignment horizontal="left"/>
    </xf>
    <xf numFmtId="1" fontId="15" fillId="0" borderId="1" xfId="0" applyNumberFormat="1" applyFont="1" applyBorder="1" applyAlignment="1">
      <alignment horizontal="left"/>
    </xf>
    <xf numFmtId="2" fontId="15" fillId="0" borderId="4" xfId="0" applyNumberFormat="1" applyFont="1" applyBorder="1" applyAlignment="1">
      <alignment horizontal="left"/>
    </xf>
    <xf numFmtId="1" fontId="15" fillId="0" borderId="4" xfId="0" applyNumberFormat="1" applyFont="1" applyBorder="1" applyAlignment="1">
      <alignment horizontal="left"/>
    </xf>
    <xf numFmtId="1" fontId="15" fillId="0" borderId="3" xfId="0" applyNumberFormat="1" applyFont="1" applyBorder="1" applyAlignment="1">
      <alignment horizontal="left"/>
    </xf>
    <xf numFmtId="1" fontId="1" fillId="0" borderId="2" xfId="0" applyNumberFormat="1" applyFont="1" applyBorder="1" applyAlignment="1">
      <alignment horizontal="left"/>
    </xf>
    <xf numFmtId="1" fontId="1" fillId="0" borderId="3" xfId="0" applyNumberFormat="1" applyFont="1" applyBorder="1" applyAlignment="1">
      <alignment horizontal="left"/>
    </xf>
    <xf numFmtId="1" fontId="14" fillId="0" borderId="0" xfId="0" applyNumberFormat="1" applyFont="1" applyAlignment="1">
      <alignment horizontal="left"/>
    </xf>
    <xf numFmtId="2" fontId="15" fillId="0" borderId="2" xfId="0" applyNumberFormat="1" applyFont="1" applyBorder="1" applyAlignment="1">
      <alignment horizontal="left" vertical="center"/>
    </xf>
    <xf numFmtId="2" fontId="14" fillId="0" borderId="5" xfId="0" applyNumberFormat="1" applyFont="1" applyBorder="1" applyAlignment="1">
      <alignment horizontal="left"/>
    </xf>
    <xf numFmtId="0" fontId="18" fillId="0" borderId="6" xfId="0" applyFont="1" applyBorder="1" applyAlignment="1">
      <alignment horizontal="left"/>
    </xf>
    <xf numFmtId="1" fontId="14" fillId="0" borderId="7" xfId="0" applyNumberFormat="1" applyFont="1" applyBorder="1" applyAlignment="1">
      <alignment horizontal="left" vertical="center"/>
    </xf>
    <xf numFmtId="1" fontId="14" fillId="0" borderId="5" xfId="0" applyNumberFormat="1" applyFont="1" applyBorder="1" applyAlignment="1">
      <alignment horizontal="left" vertical="center"/>
    </xf>
    <xf numFmtId="1" fontId="14" fillId="0" borderId="8" xfId="0" applyNumberFormat="1" applyFont="1" applyBorder="1" applyAlignment="1">
      <alignment horizontal="left"/>
    </xf>
    <xf numFmtId="1" fontId="14" fillId="0" borderId="5" xfId="0" applyNumberFormat="1" applyFont="1" applyBorder="1" applyAlignment="1">
      <alignment horizontal="left"/>
    </xf>
    <xf numFmtId="1" fontId="14" fillId="0" borderId="9" xfId="0" applyNumberFormat="1" applyFont="1" applyBorder="1" applyAlignment="1">
      <alignment horizontal="left"/>
    </xf>
    <xf numFmtId="1" fontId="14" fillId="0" borderId="7" xfId="0" applyNumberFormat="1" applyFont="1" applyBorder="1" applyAlignment="1">
      <alignment horizontal="left"/>
    </xf>
    <xf numFmtId="2" fontId="14" fillId="0" borderId="9" xfId="0" applyNumberFormat="1" applyFont="1" applyBorder="1" applyAlignment="1">
      <alignment horizontal="left"/>
    </xf>
    <xf numFmtId="1" fontId="14" fillId="0" borderId="7" xfId="2" applyNumberFormat="1" applyFont="1" applyBorder="1" applyAlignment="1">
      <alignment horizontal="left"/>
    </xf>
    <xf numFmtId="1" fontId="14" fillId="0" borderId="8" xfId="0" applyNumberFormat="1" applyFont="1" applyFill="1" applyBorder="1" applyAlignment="1">
      <alignment horizontal="left"/>
    </xf>
    <xf numFmtId="1" fontId="15" fillId="0" borderId="10" xfId="0" applyNumberFormat="1" applyFont="1" applyBorder="1" applyAlignment="1">
      <alignment horizontal="left"/>
    </xf>
    <xf numFmtId="2" fontId="14" fillId="0" borderId="0" xfId="0" applyNumberFormat="1" applyFont="1" applyAlignment="1">
      <alignment horizontal="left"/>
    </xf>
    <xf numFmtId="1" fontId="14" fillId="0" borderId="1" xfId="0" applyNumberFormat="1" applyFont="1" applyBorder="1" applyAlignment="1">
      <alignment horizontal="left" vertical="center"/>
    </xf>
    <xf numFmtId="1" fontId="14" fillId="0" borderId="1" xfId="2" applyNumberFormat="1" applyFont="1" applyBorder="1" applyAlignment="1">
      <alignment horizontal="left"/>
    </xf>
    <xf numFmtId="1" fontId="15" fillId="0" borderId="11" xfId="0" applyNumberFormat="1" applyFont="1" applyBorder="1" applyAlignment="1">
      <alignment horizontal="left"/>
    </xf>
    <xf numFmtId="1" fontId="15" fillId="0" borderId="12" xfId="0" applyNumberFormat="1" applyFont="1" applyBorder="1" applyAlignment="1">
      <alignment horizontal="left"/>
    </xf>
    <xf numFmtId="1" fontId="15" fillId="0" borderId="13" xfId="0" applyNumberFormat="1" applyFont="1" applyBorder="1" applyAlignment="1">
      <alignment horizontal="left"/>
    </xf>
    <xf numFmtId="0" fontId="19" fillId="0" borderId="0" xfId="0" applyFont="1" applyAlignment="1">
      <alignment horizontal="left"/>
    </xf>
    <xf numFmtId="2" fontId="14" fillId="0" borderId="2" xfId="0" applyNumberFormat="1" applyFont="1" applyBorder="1" applyAlignment="1">
      <alignment horizontal="left" vertic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14" xfId="0" applyNumberFormat="1" applyFont="1" applyBorder="1" applyAlignment="1">
      <alignment horizontal="left"/>
    </xf>
    <xf numFmtId="2" fontId="20" fillId="0" borderId="3" xfId="0" applyNumberFormat="1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2" fontId="20" fillId="0" borderId="4" xfId="0" applyNumberFormat="1" applyFont="1" applyBorder="1" applyAlignment="1">
      <alignment horizontal="left"/>
    </xf>
    <xf numFmtId="165" fontId="17" fillId="0" borderId="2" xfId="0" applyNumberFormat="1" applyFont="1" applyBorder="1" applyAlignment="1">
      <alignment horizontal="left"/>
    </xf>
    <xf numFmtId="2" fontId="20" fillId="0" borderId="1" xfId="0" applyNumberFormat="1" applyFont="1" applyFill="1" applyBorder="1" applyAlignment="1">
      <alignment horizontal="left"/>
    </xf>
    <xf numFmtId="2" fontId="20" fillId="0" borderId="2" xfId="0" applyNumberFormat="1" applyFont="1" applyFill="1" applyBorder="1" applyAlignment="1">
      <alignment horizontal="left"/>
    </xf>
    <xf numFmtId="2" fontId="20" fillId="0" borderId="2" xfId="1" applyNumberFormat="1" applyFont="1" applyBorder="1" applyAlignment="1">
      <alignment horizontal="left"/>
    </xf>
    <xf numFmtId="2" fontId="21" fillId="0" borderId="4" xfId="0" applyNumberFormat="1" applyFont="1" applyBorder="1" applyAlignment="1">
      <alignment horizontal="left"/>
    </xf>
    <xf numFmtId="2" fontId="20" fillId="0" borderId="1" xfId="1" applyNumberFormat="1" applyFont="1" applyBorder="1" applyAlignment="1">
      <alignment horizontal="left"/>
    </xf>
    <xf numFmtId="2" fontId="21" fillId="0" borderId="1" xfId="0" applyNumberFormat="1" applyFont="1" applyBorder="1" applyAlignment="1">
      <alignment horizontal="left"/>
    </xf>
    <xf numFmtId="3" fontId="17" fillId="0" borderId="2" xfId="0" applyNumberFormat="1" applyFont="1" applyBorder="1" applyAlignment="1">
      <alignment horizontal="left"/>
    </xf>
    <xf numFmtId="2" fontId="15" fillId="0" borderId="1" xfId="0" applyNumberFormat="1" applyFont="1" applyBorder="1" applyAlignment="1">
      <alignment horizontal="left" vertical="center"/>
    </xf>
    <xf numFmtId="2" fontId="21" fillId="0" borderId="2" xfId="0" applyNumberFormat="1" applyFont="1" applyBorder="1" applyAlignment="1">
      <alignment horizontal="left"/>
    </xf>
    <xf numFmtId="2" fontId="19" fillId="0" borderId="0" xfId="0" applyNumberFormat="1" applyFont="1" applyAlignment="1">
      <alignment horizontal="left"/>
    </xf>
    <xf numFmtId="2" fontId="15" fillId="0" borderId="1" xfId="2" applyNumberFormat="1" applyFont="1" applyBorder="1" applyAlignment="1">
      <alignment horizontal="left"/>
    </xf>
    <xf numFmtId="2" fontId="15" fillId="0" borderId="2" xfId="2" applyNumberFormat="1" applyFont="1" applyBorder="1" applyAlignment="1">
      <alignment horizontal="left"/>
    </xf>
    <xf numFmtId="0" fontId="15" fillId="0" borderId="0" xfId="0" applyFont="1"/>
    <xf numFmtId="0" fontId="22" fillId="0" borderId="0" xfId="0" applyFont="1" applyAlignment="1">
      <alignment horizontal="left"/>
    </xf>
    <xf numFmtId="2" fontId="15" fillId="0" borderId="4" xfId="0" applyNumberFormat="1" applyFont="1" applyBorder="1" applyAlignment="1">
      <alignment horizontal="left" vertical="center"/>
    </xf>
    <xf numFmtId="2" fontId="15" fillId="0" borderId="3" xfId="0" applyNumberFormat="1" applyFont="1" applyBorder="1" applyAlignment="1">
      <alignment horizontal="left" vertical="center"/>
    </xf>
    <xf numFmtId="0" fontId="15" fillId="0" borderId="0" xfId="0" applyFont="1" applyAlignment="1">
      <alignment horizontal="left"/>
    </xf>
    <xf numFmtId="2" fontId="15" fillId="0" borderId="14" xfId="0" applyNumberFormat="1" applyFont="1" applyBorder="1" applyAlignment="1">
      <alignment horizontal="left"/>
    </xf>
    <xf numFmtId="2" fontId="15" fillId="0" borderId="2" xfId="0" applyNumberFormat="1" applyFont="1" applyFill="1" applyBorder="1" applyAlignment="1">
      <alignment horizontal="left"/>
    </xf>
    <xf numFmtId="2" fontId="15" fillId="0" borderId="1" xfId="1" applyNumberFormat="1" applyFont="1" applyBorder="1" applyAlignment="1">
      <alignment horizontal="left"/>
    </xf>
    <xf numFmtId="2" fontId="15" fillId="0" borderId="2" xfId="1" applyNumberFormat="1" applyFont="1" applyBorder="1" applyAlignment="1">
      <alignment horizontal="left"/>
    </xf>
    <xf numFmtId="2" fontId="1" fillId="0" borderId="4" xfId="0" applyNumberFormat="1" applyFont="1" applyBorder="1" applyAlignment="1">
      <alignment horizontal="left"/>
    </xf>
    <xf numFmtId="2" fontId="1" fillId="0" borderId="2" xfId="0" applyNumberFormat="1" applyFont="1" applyBorder="1" applyAlignment="1">
      <alignment horizontal="left"/>
    </xf>
    <xf numFmtId="2" fontId="15" fillId="0" borderId="1" xfId="0" applyNumberFormat="1" applyFont="1" applyBorder="1" applyAlignment="1">
      <alignment horizontal="left" wrapText="1"/>
    </xf>
    <xf numFmtId="0" fontId="23" fillId="0" borderId="15" xfId="0" applyFont="1" applyBorder="1" applyAlignment="1">
      <alignment horizontal="left"/>
    </xf>
    <xf numFmtId="0" fontId="19" fillId="0" borderId="0" xfId="0" applyFont="1"/>
    <xf numFmtId="0" fontId="17" fillId="0" borderId="16" xfId="0" applyFont="1" applyBorder="1" applyAlignment="1">
      <alignment horizontal="left"/>
    </xf>
    <xf numFmtId="1" fontId="22" fillId="0" borderId="1" xfId="0" applyNumberFormat="1" applyFont="1" applyBorder="1" applyAlignment="1">
      <alignment horizontal="left" vertical="center"/>
    </xf>
    <xf numFmtId="0" fontId="24" fillId="0" borderId="3" xfId="0" applyFont="1" applyBorder="1" applyAlignment="1">
      <alignment horizontal="left"/>
    </xf>
    <xf numFmtId="0" fontId="24" fillId="0" borderId="0" xfId="0" applyFont="1" applyAlignment="1">
      <alignment horizontal="left"/>
    </xf>
    <xf numFmtId="2" fontId="24" fillId="0" borderId="1" xfId="0" applyNumberFormat="1" applyFont="1" applyBorder="1" applyAlignment="1">
      <alignment horizontal="left"/>
    </xf>
    <xf numFmtId="2" fontId="24" fillId="0" borderId="2" xfId="0" applyNumberFormat="1" applyFont="1" applyBorder="1" applyAlignment="1">
      <alignment horizontal="left"/>
    </xf>
    <xf numFmtId="2" fontId="24" fillId="0" borderId="3" xfId="0" applyNumberFormat="1" applyFont="1" applyBorder="1" applyAlignment="1">
      <alignment horizontal="left"/>
    </xf>
    <xf numFmtId="2" fontId="24" fillId="0" borderId="14" xfId="0" applyNumberFormat="1" applyFont="1" applyBorder="1" applyAlignment="1">
      <alignment horizontal="left"/>
    </xf>
    <xf numFmtId="1" fontId="24" fillId="0" borderId="1" xfId="0" applyNumberFormat="1" applyFont="1" applyBorder="1" applyAlignment="1">
      <alignment horizontal="left"/>
    </xf>
    <xf numFmtId="1" fontId="24" fillId="0" borderId="2" xfId="0" applyNumberFormat="1" applyFont="1" applyBorder="1" applyAlignment="1">
      <alignment horizontal="left"/>
    </xf>
    <xf numFmtId="1" fontId="24" fillId="0" borderId="3" xfId="0" applyNumberFormat="1" applyFont="1" applyBorder="1" applyAlignment="1">
      <alignment horizontal="left"/>
    </xf>
    <xf numFmtId="2" fontId="24" fillId="0" borderId="1" xfId="2" applyNumberFormat="1" applyFont="1" applyBorder="1" applyAlignment="1">
      <alignment horizontal="left"/>
    </xf>
    <xf numFmtId="2" fontId="24" fillId="0" borderId="2" xfId="2" applyNumberFormat="1" applyFont="1" applyBorder="1" applyAlignment="1">
      <alignment horizontal="left"/>
    </xf>
    <xf numFmtId="2" fontId="24" fillId="0" borderId="1" xfId="0" applyNumberFormat="1" applyFont="1" applyBorder="1" applyAlignment="1">
      <alignment horizontal="left" wrapText="1"/>
    </xf>
    <xf numFmtId="2" fontId="24" fillId="0" borderId="2" xfId="1" applyNumberFormat="1" applyFont="1" applyBorder="1" applyAlignment="1">
      <alignment horizontal="left"/>
    </xf>
    <xf numFmtId="2" fontId="22" fillId="0" borderId="1" xfId="0" applyNumberFormat="1" applyFont="1" applyBorder="1" applyAlignment="1">
      <alignment horizontal="left"/>
    </xf>
    <xf numFmtId="2" fontId="22" fillId="0" borderId="17" xfId="0" applyNumberFormat="1" applyFont="1" applyBorder="1" applyAlignment="1">
      <alignment horizontal="left"/>
    </xf>
    <xf numFmtId="2" fontId="22" fillId="0" borderId="2" xfId="0" applyNumberFormat="1" applyFont="1" applyBorder="1" applyAlignment="1">
      <alignment horizontal="left"/>
    </xf>
    <xf numFmtId="1" fontId="24" fillId="0" borderId="2" xfId="0" applyNumberFormat="1" applyFont="1" applyBorder="1" applyAlignment="1">
      <alignment horizontal="left" vertical="center"/>
    </xf>
    <xf numFmtId="1" fontId="24" fillId="0" borderId="14" xfId="0" applyNumberFormat="1" applyFont="1" applyBorder="1" applyAlignment="1">
      <alignment horizontal="left"/>
    </xf>
    <xf numFmtId="1" fontId="24" fillId="0" borderId="0" xfId="0" applyNumberFormat="1" applyFont="1" applyBorder="1" applyAlignment="1">
      <alignment horizontal="left"/>
    </xf>
    <xf numFmtId="1" fontId="24" fillId="0" borderId="18" xfId="0" applyNumberFormat="1" applyFont="1" applyBorder="1" applyAlignment="1">
      <alignment horizontal="left"/>
    </xf>
    <xf numFmtId="1" fontId="24" fillId="0" borderId="6" xfId="0" applyNumberFormat="1" applyFont="1" applyBorder="1" applyAlignment="1">
      <alignment horizontal="left"/>
    </xf>
    <xf numFmtId="1" fontId="24" fillId="0" borderId="2" xfId="0" applyNumberFormat="1" applyFont="1" applyFill="1" applyBorder="1" applyAlignment="1">
      <alignment horizontal="left"/>
    </xf>
    <xf numFmtId="1" fontId="24" fillId="0" borderId="1" xfId="1" applyNumberFormat="1" applyFont="1" applyBorder="1" applyAlignment="1">
      <alignment horizontal="left"/>
    </xf>
    <xf numFmtId="1" fontId="24" fillId="0" borderId="2" xfId="1" applyNumberFormat="1" applyFont="1" applyBorder="1" applyAlignment="1">
      <alignment horizontal="left"/>
    </xf>
    <xf numFmtId="1" fontId="22" fillId="0" borderId="1" xfId="0" applyNumberFormat="1" applyFont="1" applyBorder="1" applyAlignment="1">
      <alignment horizontal="left"/>
    </xf>
    <xf numFmtId="1" fontId="22" fillId="0" borderId="16" xfId="0" applyNumberFormat="1" applyFont="1" applyBorder="1" applyAlignment="1">
      <alignment horizontal="left"/>
    </xf>
    <xf numFmtId="0" fontId="25" fillId="0" borderId="16" xfId="0" applyFont="1" applyBorder="1" applyAlignment="1">
      <alignment horizontal="left"/>
    </xf>
    <xf numFmtId="1" fontId="22" fillId="0" borderId="4" xfId="0" applyNumberFormat="1" applyFont="1" applyBorder="1" applyAlignment="1">
      <alignment horizontal="left" vertical="center"/>
    </xf>
    <xf numFmtId="1" fontId="22" fillId="0" borderId="2" xfId="0" applyNumberFormat="1" applyFont="1" applyBorder="1" applyAlignment="1">
      <alignment horizontal="left"/>
    </xf>
    <xf numFmtId="1" fontId="22" fillId="0" borderId="3" xfId="0" applyNumberFormat="1" applyFont="1" applyBorder="1" applyAlignment="1">
      <alignment horizontal="left"/>
    </xf>
    <xf numFmtId="1" fontId="22" fillId="0" borderId="14" xfId="0" applyNumberFormat="1" applyFont="1" applyBorder="1" applyAlignment="1">
      <alignment horizontal="left"/>
    </xf>
    <xf numFmtId="1" fontId="19" fillId="0" borderId="0" xfId="0" applyNumberFormat="1" applyFont="1" applyAlignment="1">
      <alignment horizontal="left"/>
    </xf>
    <xf numFmtId="2" fontId="24" fillId="0" borderId="1" xfId="0" applyNumberFormat="1" applyFont="1" applyBorder="1" applyAlignment="1">
      <alignment horizontal="left" vertical="center"/>
    </xf>
    <xf numFmtId="2" fontId="24" fillId="0" borderId="4" xfId="0" applyNumberFormat="1" applyFont="1" applyBorder="1" applyAlignment="1">
      <alignment horizontal="left"/>
    </xf>
    <xf numFmtId="1" fontId="24" fillId="0" borderId="4" xfId="0" applyNumberFormat="1" applyFont="1" applyBorder="1" applyAlignment="1">
      <alignment horizontal="left"/>
    </xf>
    <xf numFmtId="1" fontId="22" fillId="0" borderId="4" xfId="0" applyNumberFormat="1" applyFont="1" applyBorder="1" applyAlignment="1">
      <alignment horizontal="left"/>
    </xf>
    <xf numFmtId="1" fontId="22" fillId="0" borderId="19" xfId="0" applyNumberFormat="1" applyFont="1" applyBorder="1" applyAlignment="1">
      <alignment horizontal="left"/>
    </xf>
    <xf numFmtId="1" fontId="22" fillId="0" borderId="17" xfId="0" applyNumberFormat="1" applyFont="1" applyBorder="1" applyAlignment="1">
      <alignment horizontal="left"/>
    </xf>
    <xf numFmtId="0" fontId="24" fillId="0" borderId="6" xfId="0" applyFont="1" applyBorder="1" applyAlignment="1">
      <alignment horizontal="left"/>
    </xf>
    <xf numFmtId="0" fontId="24" fillId="0" borderId="0" xfId="0" applyFont="1" applyBorder="1" applyAlignment="1">
      <alignment horizontal="left"/>
    </xf>
    <xf numFmtId="2" fontId="22" fillId="0" borderId="1" xfId="0" applyNumberFormat="1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left"/>
    </xf>
    <xf numFmtId="2" fontId="3" fillId="0" borderId="2" xfId="0" applyNumberFormat="1" applyFont="1" applyBorder="1" applyAlignment="1">
      <alignment horizontal="left"/>
    </xf>
    <xf numFmtId="2" fontId="24" fillId="0" borderId="20" xfId="0" applyNumberFormat="1" applyFont="1" applyBorder="1" applyAlignment="1">
      <alignment horizontal="left" vertical="center"/>
    </xf>
    <xf numFmtId="2" fontId="24" fillId="0" borderId="21" xfId="0" applyNumberFormat="1" applyFont="1" applyBorder="1" applyAlignment="1">
      <alignment horizontal="left"/>
    </xf>
    <xf numFmtId="1" fontId="24" fillId="0" borderId="22" xfId="0" applyNumberFormat="1" applyFont="1" applyBorder="1" applyAlignment="1">
      <alignment horizontal="left"/>
    </xf>
    <xf numFmtId="1" fontId="24" fillId="0" borderId="23" xfId="0" applyNumberFormat="1" applyFont="1" applyBorder="1" applyAlignment="1">
      <alignment horizontal="left"/>
    </xf>
    <xf numFmtId="1" fontId="24" fillId="0" borderId="21" xfId="0" applyNumberFormat="1" applyFont="1" applyBorder="1" applyAlignment="1">
      <alignment horizontal="left"/>
    </xf>
    <xf numFmtId="2" fontId="24" fillId="0" borderId="22" xfId="0" applyNumberFormat="1" applyFont="1" applyBorder="1" applyAlignment="1">
      <alignment horizontal="left"/>
    </xf>
    <xf numFmtId="2" fontId="24" fillId="0" borderId="20" xfId="0" applyNumberFormat="1" applyFont="1" applyBorder="1" applyAlignment="1">
      <alignment horizontal="left"/>
    </xf>
    <xf numFmtId="1" fontId="24" fillId="0" borderId="20" xfId="0" applyNumberFormat="1" applyFont="1" applyBorder="1" applyAlignment="1">
      <alignment horizontal="left"/>
    </xf>
    <xf numFmtId="1" fontId="24" fillId="0" borderId="24" xfId="0" applyNumberFormat="1" applyFont="1" applyBorder="1" applyAlignment="1">
      <alignment horizontal="left"/>
    </xf>
    <xf numFmtId="2" fontId="24" fillId="0" borderId="20" xfId="2" applyNumberFormat="1" applyFont="1" applyBorder="1" applyAlignment="1">
      <alignment horizontal="left"/>
    </xf>
    <xf numFmtId="2" fontId="24" fillId="0" borderId="21" xfId="2" applyNumberFormat="1" applyFont="1" applyBorder="1" applyAlignment="1">
      <alignment horizontal="left"/>
    </xf>
    <xf numFmtId="2" fontId="24" fillId="0" borderId="20" xfId="0" applyNumberFormat="1" applyFont="1" applyBorder="1" applyAlignment="1">
      <alignment horizontal="left" wrapText="1"/>
    </xf>
    <xf numFmtId="1" fontId="24" fillId="0" borderId="21" xfId="0" applyNumberFormat="1" applyFont="1" applyFill="1" applyBorder="1" applyAlignment="1">
      <alignment horizontal="left"/>
    </xf>
    <xf numFmtId="1" fontId="24" fillId="0" borderId="20" xfId="1" applyNumberFormat="1" applyFont="1" applyBorder="1" applyAlignment="1">
      <alignment horizontal="left"/>
    </xf>
    <xf numFmtId="1" fontId="24" fillId="0" borderId="21" xfId="1" applyNumberFormat="1" applyFont="1" applyBorder="1" applyAlignment="1">
      <alignment horizontal="left"/>
    </xf>
    <xf numFmtId="1" fontId="22" fillId="0" borderId="20" xfId="0" applyNumberFormat="1" applyFont="1" applyBorder="1" applyAlignment="1">
      <alignment horizontal="left"/>
    </xf>
    <xf numFmtId="1" fontId="22" fillId="0" borderId="23" xfId="0" applyNumberFormat="1" applyFont="1" applyBorder="1" applyAlignment="1">
      <alignment horizontal="left"/>
    </xf>
    <xf numFmtId="1" fontId="22" fillId="0" borderId="25" xfId="0" applyNumberFormat="1" applyFont="1" applyBorder="1" applyAlignment="1">
      <alignment horizontal="left"/>
    </xf>
    <xf numFmtId="0" fontId="24" fillId="0" borderId="26" xfId="0" applyFont="1" applyBorder="1" applyAlignment="1">
      <alignment horizontal="left"/>
    </xf>
    <xf numFmtId="0" fontId="24" fillId="0" borderId="27" xfId="0" applyFont="1" applyBorder="1" applyAlignment="1">
      <alignment horizontal="left"/>
    </xf>
    <xf numFmtId="0" fontId="24" fillId="0" borderId="28" xfId="0" applyFont="1" applyBorder="1" applyAlignment="1">
      <alignment horizontal="left"/>
    </xf>
    <xf numFmtId="1" fontId="24" fillId="0" borderId="28" xfId="0" applyNumberFormat="1" applyFont="1" applyBorder="1" applyAlignment="1">
      <alignment horizontal="left"/>
    </xf>
    <xf numFmtId="1" fontId="24" fillId="0" borderId="27" xfId="0" applyNumberFormat="1" applyFont="1" applyBorder="1" applyAlignment="1">
      <alignment horizontal="left"/>
    </xf>
    <xf numFmtId="1" fontId="24" fillId="0" borderId="26" xfId="0" applyNumberFormat="1" applyFont="1" applyBorder="1" applyAlignment="1">
      <alignment horizontal="left"/>
    </xf>
    <xf numFmtId="1" fontId="22" fillId="0" borderId="29" xfId="0" applyNumberFormat="1" applyFont="1" applyBorder="1" applyAlignment="1">
      <alignment horizontal="left"/>
    </xf>
    <xf numFmtId="1" fontId="22" fillId="0" borderId="30" xfId="0" applyNumberFormat="1" applyFont="1" applyBorder="1" applyAlignment="1">
      <alignment horizontal="left"/>
    </xf>
    <xf numFmtId="1" fontId="22" fillId="0" borderId="28" xfId="0" applyNumberFormat="1" applyFont="1" applyBorder="1" applyAlignment="1">
      <alignment horizontal="left"/>
    </xf>
    <xf numFmtId="0" fontId="24" fillId="0" borderId="18" xfId="0" applyFont="1" applyBorder="1" applyAlignment="1">
      <alignment horizontal="left"/>
    </xf>
    <xf numFmtId="1" fontId="24" fillId="0" borderId="0" xfId="0" applyNumberFormat="1" applyFont="1" applyAlignment="1">
      <alignment horizontal="left"/>
    </xf>
    <xf numFmtId="1" fontId="0" fillId="0" borderId="0" xfId="0" applyNumberFormat="1"/>
    <xf numFmtId="1" fontId="0" fillId="0" borderId="0" xfId="0" applyNumberFormat="1" applyAlignment="1">
      <alignment horizontal="left"/>
    </xf>
    <xf numFmtId="0" fontId="25" fillId="0" borderId="31" xfId="0" applyFont="1" applyBorder="1" applyAlignment="1">
      <alignment horizontal="left"/>
    </xf>
    <xf numFmtId="0" fontId="13" fillId="0" borderId="0" xfId="0" applyFont="1"/>
    <xf numFmtId="0" fontId="25" fillId="0" borderId="32" xfId="0" applyFont="1" applyBorder="1" applyAlignment="1">
      <alignment horizontal="left"/>
    </xf>
    <xf numFmtId="0" fontId="22" fillId="0" borderId="7" xfId="0" applyFont="1" applyBorder="1" applyAlignment="1">
      <alignment horizontal="left" vertical="center"/>
    </xf>
    <xf numFmtId="0" fontId="22" fillId="0" borderId="5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1" fontId="22" fillId="0" borderId="9" xfId="0" applyNumberFormat="1" applyFont="1" applyBorder="1" applyAlignment="1">
      <alignment horizontal="left" vertical="center"/>
    </xf>
    <xf numFmtId="1" fontId="22" fillId="0" borderId="8" xfId="0" applyNumberFormat="1" applyFont="1" applyBorder="1" applyAlignment="1">
      <alignment horizontal="left" vertical="center"/>
    </xf>
    <xf numFmtId="1" fontId="22" fillId="0" borderId="5" xfId="0" applyNumberFormat="1" applyFont="1" applyBorder="1" applyAlignment="1">
      <alignment horizontal="left" vertical="center"/>
    </xf>
    <xf numFmtId="0" fontId="22" fillId="0" borderId="33" xfId="0" applyFont="1" applyBorder="1" applyAlignment="1">
      <alignment horizontal="left" vertical="center"/>
    </xf>
    <xf numFmtId="1" fontId="22" fillId="0" borderId="7" xfId="0" applyNumberFormat="1" applyFont="1" applyBorder="1" applyAlignment="1">
      <alignment horizontal="left" vertical="center"/>
    </xf>
    <xf numFmtId="1" fontId="22" fillId="0" borderId="33" xfId="0" applyNumberFormat="1" applyFont="1" applyBorder="1" applyAlignment="1">
      <alignment horizontal="left" vertical="center"/>
    </xf>
    <xf numFmtId="1" fontId="24" fillId="0" borderId="0" xfId="0" applyNumberFormat="1" applyFont="1"/>
    <xf numFmtId="1" fontId="17" fillId="0" borderId="14" xfId="0" applyNumberFormat="1" applyFont="1" applyBorder="1" applyAlignment="1">
      <alignment horizontal="left"/>
    </xf>
    <xf numFmtId="1" fontId="25" fillId="0" borderId="14" xfId="0" applyNumberFormat="1" applyFont="1" applyBorder="1" applyAlignment="1">
      <alignment horizontal="left"/>
    </xf>
    <xf numFmtId="1" fontId="17" fillId="0" borderId="34" xfId="0" applyNumberFormat="1" applyFont="1" applyBorder="1" applyAlignment="1">
      <alignment horizontal="left"/>
    </xf>
    <xf numFmtId="1" fontId="20" fillId="0" borderId="1" xfId="0" applyNumberFormat="1" applyFont="1" applyBorder="1" applyAlignment="1">
      <alignment horizontal="left" vertical="center"/>
    </xf>
    <xf numFmtId="1" fontId="20" fillId="0" borderId="4" xfId="0" applyNumberFormat="1" applyFont="1" applyBorder="1" applyAlignment="1">
      <alignment horizontal="left"/>
    </xf>
    <xf numFmtId="1" fontId="20" fillId="0" borderId="3" xfId="0" applyNumberFormat="1" applyFont="1" applyBorder="1" applyAlignment="1">
      <alignment horizontal="left"/>
    </xf>
    <xf numFmtId="1" fontId="25" fillId="0" borderId="2" xfId="0" applyNumberFormat="1" applyFont="1" applyBorder="1" applyAlignment="1">
      <alignment horizontal="left"/>
    </xf>
    <xf numFmtId="1" fontId="20" fillId="0" borderId="3" xfId="0" applyNumberFormat="1" applyFont="1" applyFill="1" applyBorder="1" applyAlignment="1">
      <alignment horizontal="left"/>
    </xf>
    <xf numFmtId="1" fontId="20" fillId="0" borderId="3" xfId="1" applyNumberFormat="1" applyFont="1" applyBorder="1" applyAlignment="1">
      <alignment horizontal="left"/>
    </xf>
    <xf numFmtId="1" fontId="20" fillId="0" borderId="1" xfId="0" applyNumberFormat="1" applyFont="1" applyBorder="1" applyAlignment="1">
      <alignment horizontal="left"/>
    </xf>
    <xf numFmtId="1" fontId="21" fillId="0" borderId="1" xfId="0" applyNumberFormat="1" applyFont="1" applyBorder="1" applyAlignment="1">
      <alignment horizontal="left" vertical="center"/>
    </xf>
    <xf numFmtId="1" fontId="19" fillId="0" borderId="0" xfId="0" applyNumberFormat="1" applyFont="1" applyBorder="1" applyAlignment="1">
      <alignment horizontal="left"/>
    </xf>
    <xf numFmtId="1" fontId="21" fillId="0" borderId="4" xfId="0" applyNumberFormat="1" applyFont="1" applyBorder="1" applyAlignment="1">
      <alignment horizontal="left"/>
    </xf>
    <xf numFmtId="1" fontId="21" fillId="0" borderId="3" xfId="0" applyNumberFormat="1" applyFont="1" applyBorder="1" applyAlignment="1">
      <alignment horizontal="left"/>
    </xf>
    <xf numFmtId="1" fontId="17" fillId="0" borderId="35" xfId="0" applyNumberFormat="1" applyFont="1" applyBorder="1" applyAlignment="1">
      <alignment horizontal="left"/>
    </xf>
    <xf numFmtId="1" fontId="20" fillId="0" borderId="22" xfId="0" applyNumberFormat="1" applyFont="1" applyBorder="1" applyAlignment="1">
      <alignment horizontal="left"/>
    </xf>
    <xf numFmtId="1" fontId="20" fillId="0" borderId="20" xfId="0" applyNumberFormat="1" applyFont="1" applyBorder="1" applyAlignment="1">
      <alignment horizontal="left" vertical="center"/>
    </xf>
    <xf numFmtId="1" fontId="20" fillId="0" borderId="23" xfId="0" applyNumberFormat="1" applyFont="1" applyBorder="1" applyAlignment="1">
      <alignment horizontal="left"/>
    </xf>
    <xf numFmtId="1" fontId="18" fillId="0" borderId="15" xfId="0" applyNumberFormat="1" applyFont="1" applyBorder="1" applyAlignment="1">
      <alignment horizontal="left"/>
    </xf>
    <xf numFmtId="1" fontId="14" fillId="0" borderId="1" xfId="1" applyNumberFormat="1" applyFont="1" applyBorder="1" applyAlignment="1">
      <alignment horizontal="left"/>
    </xf>
    <xf numFmtId="2" fontId="14" fillId="0" borderId="14" xfId="0" applyNumberFormat="1" applyFont="1" applyBorder="1" applyAlignment="1">
      <alignment horizontal="left"/>
    </xf>
    <xf numFmtId="2" fontId="14" fillId="0" borderId="1" xfId="2" applyNumberFormat="1" applyFont="1" applyBorder="1" applyAlignment="1">
      <alignment horizontal="left"/>
    </xf>
    <xf numFmtId="1" fontId="14" fillId="0" borderId="0" xfId="0" applyNumberFormat="1" applyFont="1" applyFill="1" applyAlignment="1">
      <alignment horizontal="left"/>
    </xf>
    <xf numFmtId="1" fontId="14" fillId="0" borderId="0" xfId="0" applyNumberFormat="1" applyFont="1"/>
    <xf numFmtId="0" fontId="22" fillId="0" borderId="36" xfId="0" applyFont="1" applyBorder="1" applyAlignment="1">
      <alignment horizontal="left" vertical="center"/>
    </xf>
    <xf numFmtId="0" fontId="22" fillId="0" borderId="37" xfId="0" applyFont="1" applyBorder="1" applyAlignment="1">
      <alignment horizontal="left" vertical="center"/>
    </xf>
    <xf numFmtId="0" fontId="22" fillId="0" borderId="38" xfId="0" applyFont="1" applyBorder="1" applyAlignment="1">
      <alignment horizontal="left" vertical="center"/>
    </xf>
    <xf numFmtId="1" fontId="17" fillId="0" borderId="2" xfId="0" applyNumberFormat="1" applyFont="1" applyBorder="1" applyAlignment="1">
      <alignment horizontal="left"/>
    </xf>
    <xf numFmtId="0" fontId="22" fillId="0" borderId="39" xfId="0" applyFont="1" applyBorder="1" applyAlignment="1">
      <alignment horizontal="left" vertical="center"/>
    </xf>
    <xf numFmtId="1" fontId="17" fillId="0" borderId="36" xfId="0" applyNumberFormat="1" applyFont="1" applyBorder="1" applyAlignment="1">
      <alignment horizontal="left"/>
    </xf>
    <xf numFmtId="1" fontId="17" fillId="0" borderId="1" xfId="0" applyNumberFormat="1" applyFont="1" applyBorder="1" applyAlignment="1">
      <alignment horizontal="left"/>
    </xf>
    <xf numFmtId="1" fontId="24" fillId="0" borderId="13" xfId="0" applyNumberFormat="1" applyFont="1" applyBorder="1" applyAlignment="1">
      <alignment horizontal="left"/>
    </xf>
    <xf numFmtId="0" fontId="24" fillId="0" borderId="29" xfId="0" applyFont="1" applyBorder="1" applyAlignment="1">
      <alignment horizontal="left"/>
    </xf>
    <xf numFmtId="0" fontId="24" fillId="0" borderId="40" xfId="0" applyFont="1" applyBorder="1" applyAlignment="1">
      <alignment horizontal="left"/>
    </xf>
    <xf numFmtId="2" fontId="14" fillId="0" borderId="4" xfId="0" applyNumberFormat="1" applyFont="1" applyBorder="1" applyAlignment="1">
      <alignment horizontal="left" vertical="center"/>
    </xf>
    <xf numFmtId="0" fontId="17" fillId="0" borderId="41" xfId="0" applyFont="1" applyBorder="1" applyAlignment="1">
      <alignment horizontal="left"/>
    </xf>
    <xf numFmtId="2" fontId="21" fillId="0" borderId="16" xfId="0" applyNumberFormat="1" applyFont="1" applyBorder="1" applyAlignment="1">
      <alignment horizontal="left"/>
    </xf>
    <xf numFmtId="0" fontId="17" fillId="0" borderId="31" xfId="0" applyFont="1" applyBorder="1" applyAlignment="1">
      <alignment horizontal="left"/>
    </xf>
    <xf numFmtId="2" fontId="20" fillId="0" borderId="20" xfId="0" applyNumberFormat="1" applyFont="1" applyBorder="1" applyAlignment="1">
      <alignment horizontal="left"/>
    </xf>
    <xf numFmtId="2" fontId="20" fillId="0" borderId="21" xfId="0" applyNumberFormat="1" applyFont="1" applyBorder="1" applyAlignment="1">
      <alignment horizontal="left"/>
    </xf>
    <xf numFmtId="2" fontId="20" fillId="0" borderId="24" xfId="0" applyNumberFormat="1" applyFont="1" applyBorder="1" applyAlignment="1">
      <alignment horizontal="left"/>
    </xf>
    <xf numFmtId="2" fontId="20" fillId="0" borderId="22" xfId="0" applyNumberFormat="1" applyFont="1" applyBorder="1" applyAlignment="1">
      <alignment horizontal="left"/>
    </xf>
    <xf numFmtId="2" fontId="20" fillId="0" borderId="23" xfId="0" applyNumberFormat="1" applyFont="1" applyBorder="1" applyAlignment="1">
      <alignment horizontal="left"/>
    </xf>
    <xf numFmtId="2" fontId="20" fillId="0" borderId="20" xfId="0" applyNumberFormat="1" applyFont="1" applyFill="1" applyBorder="1" applyAlignment="1">
      <alignment horizontal="left"/>
    </xf>
    <xf numFmtId="2" fontId="20" fillId="0" borderId="21" xfId="0" applyNumberFormat="1" applyFont="1" applyFill="1" applyBorder="1" applyAlignment="1">
      <alignment horizontal="left"/>
    </xf>
    <xf numFmtId="2" fontId="20" fillId="0" borderId="21" xfId="1" applyNumberFormat="1" applyFont="1" applyBorder="1" applyAlignment="1">
      <alignment horizontal="left"/>
    </xf>
    <xf numFmtId="2" fontId="20" fillId="0" borderId="20" xfId="1" applyNumberFormat="1" applyFont="1" applyBorder="1" applyAlignment="1">
      <alignment horizontal="left"/>
    </xf>
    <xf numFmtId="2" fontId="21" fillId="0" borderId="20" xfId="0" applyNumberFormat="1" applyFont="1" applyBorder="1" applyAlignment="1">
      <alignment horizontal="left"/>
    </xf>
    <xf numFmtId="2" fontId="21" fillId="0" borderId="31" xfId="0" applyNumberFormat="1" applyFont="1" applyBorder="1" applyAlignment="1">
      <alignment horizontal="left"/>
    </xf>
    <xf numFmtId="2" fontId="20" fillId="0" borderId="42" xfId="0" applyNumberFormat="1" applyFont="1" applyBorder="1" applyAlignment="1">
      <alignment horizontal="left"/>
    </xf>
    <xf numFmtId="2" fontId="20" fillId="0" borderId="43" xfId="0" applyNumberFormat="1" applyFont="1" applyBorder="1" applyAlignment="1">
      <alignment horizontal="left"/>
    </xf>
    <xf numFmtId="2" fontId="20" fillId="0" borderId="44" xfId="0" applyNumberFormat="1" applyFont="1" applyBorder="1" applyAlignment="1">
      <alignment horizontal="left"/>
    </xf>
    <xf numFmtId="2" fontId="20" fillId="0" borderId="45" xfId="0" applyNumberFormat="1" applyFont="1" applyBorder="1" applyAlignment="1">
      <alignment horizontal="left"/>
    </xf>
    <xf numFmtId="2" fontId="20" fillId="0" borderId="46" xfId="0" applyNumberFormat="1" applyFont="1" applyBorder="1" applyAlignment="1">
      <alignment horizontal="left"/>
    </xf>
    <xf numFmtId="2" fontId="20" fillId="0" borderId="42" xfId="0" applyNumberFormat="1" applyFont="1" applyFill="1" applyBorder="1" applyAlignment="1">
      <alignment horizontal="left"/>
    </xf>
    <xf numFmtId="2" fontId="20" fillId="0" borderId="43" xfId="0" applyNumberFormat="1" applyFont="1" applyFill="1" applyBorder="1" applyAlignment="1">
      <alignment horizontal="left"/>
    </xf>
    <xf numFmtId="2" fontId="20" fillId="0" borderId="43" xfId="1" applyNumberFormat="1" applyFont="1" applyBorder="1" applyAlignment="1">
      <alignment horizontal="left"/>
    </xf>
    <xf numFmtId="2" fontId="21" fillId="0" borderId="46" xfId="0" applyNumberFormat="1" applyFont="1" applyBorder="1" applyAlignment="1">
      <alignment horizontal="left"/>
    </xf>
    <xf numFmtId="2" fontId="20" fillId="0" borderId="42" xfId="1" applyNumberFormat="1" applyFont="1" applyBorder="1" applyAlignment="1">
      <alignment horizontal="left"/>
    </xf>
    <xf numFmtId="2" fontId="21" fillId="0" borderId="42" xfId="0" applyNumberFormat="1" applyFont="1" applyBorder="1" applyAlignment="1">
      <alignment horizontal="left"/>
    </xf>
    <xf numFmtId="2" fontId="21" fillId="0" borderId="47" xfId="0" applyNumberFormat="1" applyFont="1" applyBorder="1" applyAlignment="1">
      <alignment horizontal="left"/>
    </xf>
    <xf numFmtId="2" fontId="14" fillId="0" borderId="23" xfId="0" applyNumberFormat="1" applyFont="1" applyBorder="1" applyAlignment="1">
      <alignment horizontal="left" vertical="center"/>
    </xf>
    <xf numFmtId="2" fontId="14" fillId="0" borderId="21" xfId="0" applyNumberFormat="1" applyFont="1" applyBorder="1" applyAlignment="1">
      <alignment horizontal="left" vertical="center"/>
    </xf>
    <xf numFmtId="2" fontId="14" fillId="0" borderId="20" xfId="0" applyNumberFormat="1" applyFont="1" applyBorder="1" applyAlignment="1">
      <alignment horizontal="left"/>
    </xf>
    <xf numFmtId="0" fontId="14" fillId="0" borderId="21" xfId="0" applyFont="1" applyBorder="1" applyAlignment="1">
      <alignment horizontal="left"/>
    </xf>
    <xf numFmtId="2" fontId="14" fillId="0" borderId="21" xfId="0" applyNumberFormat="1" applyFont="1" applyBorder="1" applyAlignment="1">
      <alignment horizontal="left"/>
    </xf>
    <xf numFmtId="2" fontId="14" fillId="0" borderId="22" xfId="0" applyNumberFormat="1" applyFont="1" applyBorder="1" applyAlignment="1">
      <alignment horizontal="left"/>
    </xf>
    <xf numFmtId="165" fontId="17" fillId="0" borderId="21" xfId="0" applyNumberFormat="1" applyFont="1" applyBorder="1" applyAlignment="1">
      <alignment horizontal="left"/>
    </xf>
    <xf numFmtId="0" fontId="24" fillId="0" borderId="47" xfId="0" applyFont="1" applyBorder="1" applyAlignment="1">
      <alignment horizontal="left"/>
    </xf>
    <xf numFmtId="2" fontId="15" fillId="0" borderId="46" xfId="0" applyNumberFormat="1" applyFont="1" applyBorder="1" applyAlignment="1">
      <alignment horizontal="left" vertical="center"/>
    </xf>
    <xf numFmtId="2" fontId="15" fillId="0" borderId="43" xfId="0" applyNumberFormat="1" applyFont="1" applyBorder="1" applyAlignment="1">
      <alignment horizontal="left" vertical="center"/>
    </xf>
    <xf numFmtId="2" fontId="15" fillId="0" borderId="42" xfId="0" applyNumberFormat="1" applyFont="1" applyBorder="1" applyAlignment="1">
      <alignment horizontal="left"/>
    </xf>
    <xf numFmtId="0" fontId="15" fillId="0" borderId="43" xfId="0" applyFont="1" applyBorder="1" applyAlignment="1">
      <alignment horizontal="left"/>
    </xf>
    <xf numFmtId="2" fontId="15" fillId="0" borderId="43" xfId="0" applyNumberFormat="1" applyFont="1" applyBorder="1" applyAlignment="1">
      <alignment horizontal="left"/>
    </xf>
    <xf numFmtId="2" fontId="15" fillId="0" borderId="45" xfId="0" applyNumberFormat="1" applyFont="1" applyBorder="1" applyAlignment="1">
      <alignment horizontal="left"/>
    </xf>
    <xf numFmtId="0" fontId="24" fillId="0" borderId="43" xfId="0" applyFont="1" applyBorder="1" applyAlignment="1">
      <alignment horizontal="left"/>
    </xf>
    <xf numFmtId="1" fontId="18" fillId="0" borderId="34" xfId="0" applyNumberFormat="1" applyFont="1" applyBorder="1" applyAlignment="1">
      <alignment horizontal="left"/>
    </xf>
    <xf numFmtId="1" fontId="18" fillId="0" borderId="16" xfId="0" applyNumberFormat="1" applyFont="1" applyFill="1" applyBorder="1" applyAlignment="1">
      <alignment horizontal="left" vertical="top" wrapText="1"/>
    </xf>
    <xf numFmtId="1" fontId="4" fillId="0" borderId="16" xfId="0" applyNumberFormat="1" applyFont="1" applyFill="1" applyBorder="1" applyAlignment="1">
      <alignment horizontal="left" vertical="top" wrapText="1"/>
    </xf>
    <xf numFmtId="1" fontId="4" fillId="0" borderId="48" xfId="0" applyNumberFormat="1" applyFont="1" applyFill="1" applyBorder="1" applyAlignment="1">
      <alignment horizontal="left" vertical="top" wrapText="1"/>
    </xf>
    <xf numFmtId="1" fontId="14" fillId="0" borderId="1" xfId="0" applyNumberFormat="1" applyFont="1" applyFill="1" applyBorder="1" applyAlignment="1">
      <alignment horizontal="left" wrapText="1"/>
    </xf>
    <xf numFmtId="1" fontId="14" fillId="0" borderId="1" xfId="0" applyNumberFormat="1" applyFont="1" applyFill="1" applyBorder="1" applyAlignment="1">
      <alignment horizontal="left" vertical="top" shrinkToFit="1"/>
    </xf>
    <xf numFmtId="1" fontId="14" fillId="0" borderId="1" xfId="0" applyNumberFormat="1" applyFont="1" applyFill="1" applyBorder="1" applyAlignment="1">
      <alignment horizontal="left" vertical="top" wrapText="1"/>
    </xf>
    <xf numFmtId="1" fontId="14" fillId="0" borderId="16" xfId="1" applyNumberFormat="1" applyFont="1" applyBorder="1" applyAlignment="1">
      <alignment horizontal="left"/>
    </xf>
    <xf numFmtId="1" fontId="14" fillId="0" borderId="0" xfId="0" applyNumberFormat="1" applyFont="1" applyBorder="1" applyAlignment="1">
      <alignment horizontal="left"/>
    </xf>
    <xf numFmtId="1" fontId="14" fillId="0" borderId="18" xfId="0" applyNumberFormat="1" applyFont="1" applyBorder="1" applyAlignment="1">
      <alignment horizontal="left"/>
    </xf>
    <xf numFmtId="2" fontId="15" fillId="0" borderId="36" xfId="0" applyNumberFormat="1" applyFont="1" applyBorder="1" applyAlignment="1">
      <alignment horizontal="left"/>
    </xf>
    <xf numFmtId="2" fontId="14" fillId="0" borderId="37" xfId="0" applyNumberFormat="1" applyFont="1" applyBorder="1" applyAlignment="1">
      <alignment horizontal="left"/>
    </xf>
    <xf numFmtId="2" fontId="14" fillId="0" borderId="38" xfId="0" applyNumberFormat="1" applyFont="1" applyBorder="1" applyAlignment="1">
      <alignment horizontal="left"/>
    </xf>
    <xf numFmtId="2" fontId="15" fillId="0" borderId="7" xfId="0" applyNumberFormat="1" applyFont="1" applyBorder="1" applyAlignment="1">
      <alignment horizontal="left" vertical="center"/>
    </xf>
    <xf numFmtId="2" fontId="15" fillId="0" borderId="9" xfId="0" applyNumberFormat="1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33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1" fontId="15" fillId="0" borderId="17" xfId="0" applyNumberFormat="1" applyFont="1" applyBorder="1" applyAlignment="1">
      <alignment horizontal="left" vertical="center"/>
    </xf>
    <xf numFmtId="1" fontId="14" fillId="0" borderId="6" xfId="0" applyNumberFormat="1" applyFont="1" applyBorder="1" applyAlignment="1">
      <alignment horizontal="left"/>
    </xf>
    <xf numFmtId="1" fontId="14" fillId="0" borderId="17" xfId="0" applyNumberFormat="1" applyFont="1" applyBorder="1" applyAlignment="1">
      <alignment horizontal="left"/>
    </xf>
    <xf numFmtId="2" fontId="18" fillId="0" borderId="41" xfId="0" applyNumberFormat="1" applyFont="1" applyFill="1" applyBorder="1" applyAlignment="1">
      <alignment horizontal="left" vertical="center" wrapText="1"/>
    </xf>
    <xf numFmtId="2" fontId="14" fillId="0" borderId="49" xfId="0" applyNumberFormat="1" applyFont="1" applyBorder="1" applyAlignment="1">
      <alignment horizontal="left"/>
    </xf>
    <xf numFmtId="2" fontId="14" fillId="0" borderId="36" xfId="0" applyNumberFormat="1" applyFont="1" applyFill="1" applyBorder="1" applyAlignment="1">
      <alignment horizontal="left" vertical="center" wrapText="1"/>
    </xf>
    <xf numFmtId="2" fontId="15" fillId="0" borderId="38" xfId="0" applyNumberFormat="1" applyFont="1" applyBorder="1" applyAlignment="1">
      <alignment horizontal="left"/>
    </xf>
    <xf numFmtId="2" fontId="14" fillId="0" borderId="36" xfId="0" applyNumberFormat="1" applyFont="1" applyBorder="1" applyAlignment="1">
      <alignment horizontal="left"/>
    </xf>
    <xf numFmtId="2" fontId="16" fillId="0" borderId="1" xfId="0" applyNumberFormat="1" applyFont="1" applyBorder="1" applyAlignment="1">
      <alignment horizontal="left" vertical="center"/>
    </xf>
    <xf numFmtId="0" fontId="15" fillId="0" borderId="1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18" fillId="0" borderId="15" xfId="0" applyFont="1" applyBorder="1" applyAlignment="1">
      <alignment horizontal="left"/>
    </xf>
    <xf numFmtId="1" fontId="15" fillId="0" borderId="7" xfId="0" applyNumberFormat="1" applyFont="1" applyBorder="1" applyAlignment="1">
      <alignment horizontal="left"/>
    </xf>
    <xf numFmtId="1" fontId="14" fillId="0" borderId="7" xfId="1" applyNumberFormat="1" applyFont="1" applyBorder="1" applyAlignment="1">
      <alignment horizontal="left"/>
    </xf>
    <xf numFmtId="1" fontId="14" fillId="0" borderId="17" xfId="1" applyNumberFormat="1" applyFont="1" applyBorder="1" applyAlignment="1">
      <alignment horizontal="left"/>
    </xf>
    <xf numFmtId="2" fontId="14" fillId="0" borderId="36" xfId="0" applyNumberFormat="1" applyFont="1" applyBorder="1" applyAlignment="1">
      <alignment horizontal="left" wrapText="1"/>
    </xf>
    <xf numFmtId="2" fontId="14" fillId="0" borderId="1" xfId="0" applyNumberFormat="1" applyFont="1" applyBorder="1" applyAlignment="1">
      <alignment horizontal="left" wrapText="1"/>
    </xf>
    <xf numFmtId="1" fontId="23" fillId="0" borderId="15" xfId="0" applyNumberFormat="1" applyFont="1" applyBorder="1" applyAlignment="1">
      <alignment horizontal="left"/>
    </xf>
    <xf numFmtId="1" fontId="14" fillId="0" borderId="32" xfId="0" applyNumberFormat="1" applyFont="1" applyBorder="1" applyAlignment="1">
      <alignment horizontal="left"/>
    </xf>
    <xf numFmtId="1" fontId="14" fillId="0" borderId="16" xfId="0" applyNumberFormat="1" applyFont="1" applyBorder="1" applyAlignment="1">
      <alignment horizontal="left"/>
    </xf>
    <xf numFmtId="1" fontId="15" fillId="0" borderId="16" xfId="0" applyNumberFormat="1" applyFont="1" applyBorder="1" applyAlignment="1">
      <alignment horizontal="left"/>
    </xf>
    <xf numFmtId="1" fontId="14" fillId="0" borderId="31" xfId="0" applyNumberFormat="1" applyFont="1" applyBorder="1" applyAlignment="1">
      <alignment horizontal="left"/>
    </xf>
    <xf numFmtId="1" fontId="15" fillId="0" borderId="17" xfId="0" applyNumberFormat="1" applyFont="1" applyBorder="1" applyAlignment="1">
      <alignment horizontal="left"/>
    </xf>
    <xf numFmtId="1" fontId="15" fillId="0" borderId="25" xfId="0" applyNumberFormat="1" applyFont="1" applyBorder="1" applyAlignment="1">
      <alignment horizontal="left"/>
    </xf>
    <xf numFmtId="1" fontId="14" fillId="0" borderId="10" xfId="1" applyNumberFormat="1" applyFont="1" applyBorder="1" applyAlignment="1">
      <alignment horizontal="left"/>
    </xf>
    <xf numFmtId="1" fontId="14" fillId="0" borderId="25" xfId="1" applyNumberFormat="1" applyFont="1" applyBorder="1" applyAlignment="1">
      <alignment horizontal="left"/>
    </xf>
    <xf numFmtId="1" fontId="14" fillId="0" borderId="32" xfId="1" applyNumberFormat="1" applyFont="1" applyBorder="1" applyAlignment="1">
      <alignment horizontal="left"/>
    </xf>
    <xf numFmtId="1" fontId="14" fillId="0" borderId="31" xfId="1" applyNumberFormat="1" applyFont="1" applyBorder="1" applyAlignment="1">
      <alignment horizontal="left"/>
    </xf>
    <xf numFmtId="1" fontId="14" fillId="0" borderId="50" xfId="0" applyNumberFormat="1" applyFont="1" applyFill="1" applyBorder="1" applyAlignment="1">
      <alignment horizontal="left"/>
    </xf>
    <xf numFmtId="1" fontId="14" fillId="0" borderId="34" xfId="0" applyNumberFormat="1" applyFont="1" applyFill="1" applyBorder="1" applyAlignment="1">
      <alignment horizontal="left"/>
    </xf>
    <xf numFmtId="1" fontId="14" fillId="0" borderId="34" xfId="0" applyNumberFormat="1" applyFont="1" applyBorder="1" applyAlignment="1">
      <alignment horizontal="left"/>
    </xf>
    <xf numFmtId="1" fontId="14" fillId="0" borderId="35" xfId="0" applyNumberFormat="1" applyFont="1" applyFill="1" applyBorder="1" applyAlignment="1">
      <alignment horizontal="left"/>
    </xf>
    <xf numFmtId="1" fontId="18" fillId="0" borderId="6" xfId="0" applyNumberFormat="1" applyFont="1" applyBorder="1" applyAlignment="1">
      <alignment horizontal="left"/>
    </xf>
    <xf numFmtId="1" fontId="14" fillId="0" borderId="50" xfId="0" applyNumberFormat="1" applyFont="1" applyBorder="1" applyAlignment="1">
      <alignment horizontal="left" wrapText="1"/>
    </xf>
    <xf numFmtId="1" fontId="14" fillId="0" borderId="34" xfId="0" applyNumberFormat="1" applyFont="1" applyBorder="1" applyAlignment="1">
      <alignment horizontal="left" wrapText="1"/>
    </xf>
    <xf numFmtId="1" fontId="14" fillId="0" borderId="35" xfId="0" applyNumberFormat="1" applyFont="1" applyBorder="1" applyAlignment="1">
      <alignment horizontal="left" wrapText="1"/>
    </xf>
    <xf numFmtId="1" fontId="14" fillId="0" borderId="50" xfId="0" applyNumberFormat="1" applyFont="1" applyBorder="1" applyAlignment="1">
      <alignment horizontal="left"/>
    </xf>
    <xf numFmtId="1" fontId="15" fillId="0" borderId="34" xfId="0" applyNumberFormat="1" applyFont="1" applyBorder="1" applyAlignment="1">
      <alignment horizontal="left"/>
    </xf>
    <xf numFmtId="1" fontId="14" fillId="0" borderId="35" xfId="0" applyNumberFormat="1" applyFont="1" applyBorder="1" applyAlignment="1">
      <alignment horizontal="left"/>
    </xf>
    <xf numFmtId="1" fontId="1" fillId="0" borderId="34" xfId="0" applyNumberFormat="1" applyFont="1" applyBorder="1" applyAlignment="1">
      <alignment horizontal="left"/>
    </xf>
    <xf numFmtId="1" fontId="14" fillId="0" borderId="50" xfId="2" applyNumberFormat="1" applyFont="1" applyBorder="1" applyAlignment="1">
      <alignment horizontal="left"/>
    </xf>
    <xf numFmtId="1" fontId="14" fillId="0" borderId="34" xfId="2" applyNumberFormat="1" applyFont="1" applyBorder="1" applyAlignment="1">
      <alignment horizontal="left"/>
    </xf>
    <xf numFmtId="1" fontId="14" fillId="0" borderId="35" xfId="2" applyNumberFormat="1" applyFont="1" applyBorder="1" applyAlignment="1">
      <alignment horizontal="left"/>
    </xf>
    <xf numFmtId="1" fontId="14" fillId="0" borderId="50" xfId="0" applyNumberFormat="1" applyFont="1" applyBorder="1" applyAlignment="1">
      <alignment horizontal="left" vertical="center"/>
    </xf>
    <xf numFmtId="1" fontId="14" fillId="0" borderId="34" xfId="0" applyNumberFormat="1" applyFont="1" applyBorder="1" applyAlignment="1">
      <alignment horizontal="left" vertical="center"/>
    </xf>
    <xf numFmtId="1" fontId="15" fillId="0" borderId="34" xfId="0" applyNumberFormat="1" applyFont="1" applyBorder="1" applyAlignment="1">
      <alignment horizontal="left" vertical="center"/>
    </xf>
    <xf numFmtId="1" fontId="14" fillId="0" borderId="35" xfId="0" applyNumberFormat="1" applyFont="1" applyBorder="1" applyAlignment="1">
      <alignment horizontal="left" vertical="center"/>
    </xf>
    <xf numFmtId="1" fontId="20" fillId="0" borderId="14" xfId="0" applyNumberFormat="1" applyFont="1" applyBorder="1" applyAlignment="1">
      <alignment horizontal="left"/>
    </xf>
    <xf numFmtId="1" fontId="20" fillId="0" borderId="1" xfId="2" applyNumberFormat="1" applyFont="1" applyBorder="1" applyAlignment="1">
      <alignment horizontal="left"/>
    </xf>
    <xf numFmtId="1" fontId="20" fillId="0" borderId="4" xfId="0" applyNumberFormat="1" applyFont="1" applyFill="1" applyBorder="1" applyAlignment="1">
      <alignment horizontal="left"/>
    </xf>
    <xf numFmtId="1" fontId="20" fillId="0" borderId="23" xfId="0" applyNumberFormat="1" applyFont="1" applyFill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9" fillId="0" borderId="6" xfId="0" applyFont="1" applyBorder="1" applyAlignment="1">
      <alignment horizontal="left"/>
    </xf>
    <xf numFmtId="2" fontId="14" fillId="0" borderId="8" xfId="0" applyNumberFormat="1" applyFont="1" applyBorder="1" applyAlignment="1">
      <alignment horizontal="left" vertical="center"/>
    </xf>
    <xf numFmtId="2" fontId="14" fillId="0" borderId="5" xfId="0" applyNumberFormat="1" applyFont="1" applyBorder="1" applyAlignment="1">
      <alignment horizontal="left" vertical="center"/>
    </xf>
    <xf numFmtId="2" fontId="20" fillId="0" borderId="7" xfId="0" applyNumberFormat="1" applyFont="1" applyBorder="1" applyAlignment="1">
      <alignment horizontal="left"/>
    </xf>
    <xf numFmtId="2" fontId="20" fillId="0" borderId="5" xfId="0" applyNumberFormat="1" applyFont="1" applyBorder="1" applyAlignment="1">
      <alignment horizontal="left"/>
    </xf>
    <xf numFmtId="2" fontId="20" fillId="0" borderId="33" xfId="0" applyNumberFormat="1" applyFont="1" applyBorder="1" applyAlignment="1">
      <alignment horizontal="left"/>
    </xf>
    <xf numFmtId="2" fontId="20" fillId="0" borderId="9" xfId="0" applyNumberFormat="1" applyFont="1" applyBorder="1" applyAlignment="1">
      <alignment horizontal="left"/>
    </xf>
    <xf numFmtId="2" fontId="20" fillId="0" borderId="8" xfId="0" applyNumberFormat="1" applyFont="1" applyBorder="1" applyAlignment="1">
      <alignment horizontal="left"/>
    </xf>
    <xf numFmtId="2" fontId="14" fillId="0" borderId="7" xfId="0" applyNumberFormat="1" applyFont="1" applyBorder="1" applyAlignment="1">
      <alignment horizontal="left"/>
    </xf>
    <xf numFmtId="0" fontId="14" fillId="0" borderId="5" xfId="0" applyFont="1" applyBorder="1" applyAlignment="1">
      <alignment horizontal="left"/>
    </xf>
    <xf numFmtId="165" fontId="17" fillId="0" borderId="5" xfId="0" applyNumberFormat="1" applyFont="1" applyBorder="1" applyAlignment="1">
      <alignment horizontal="left"/>
    </xf>
    <xf numFmtId="2" fontId="20" fillId="0" borderId="7" xfId="0" applyNumberFormat="1" applyFont="1" applyFill="1" applyBorder="1" applyAlignment="1">
      <alignment horizontal="left"/>
    </xf>
    <xf numFmtId="2" fontId="20" fillId="0" borderId="5" xfId="0" applyNumberFormat="1" applyFont="1" applyFill="1" applyBorder="1" applyAlignment="1">
      <alignment horizontal="left"/>
    </xf>
    <xf numFmtId="2" fontId="20" fillId="0" borderId="5" xfId="1" applyNumberFormat="1" applyFont="1" applyBorder="1" applyAlignment="1">
      <alignment horizontal="left"/>
    </xf>
    <xf numFmtId="2" fontId="21" fillId="0" borderId="8" xfId="0" applyNumberFormat="1" applyFont="1" applyBorder="1" applyAlignment="1">
      <alignment horizontal="left"/>
    </xf>
    <xf numFmtId="2" fontId="20" fillId="0" borderId="7" xfId="1" applyNumberFormat="1" applyFont="1" applyBorder="1" applyAlignment="1">
      <alignment horizontal="left"/>
    </xf>
    <xf numFmtId="2" fontId="21" fillId="0" borderId="7" xfId="0" applyNumberFormat="1" applyFont="1" applyBorder="1" applyAlignment="1">
      <alignment horizontal="left"/>
    </xf>
    <xf numFmtId="2" fontId="21" fillId="0" borderId="32" xfId="0" applyNumberFormat="1" applyFont="1" applyBorder="1" applyAlignment="1">
      <alignment horizontal="left"/>
    </xf>
    <xf numFmtId="0" fontId="24" fillId="0" borderId="39" xfId="0" applyFont="1" applyBorder="1" applyAlignment="1">
      <alignment horizontal="left"/>
    </xf>
    <xf numFmtId="0" fontId="24" fillId="0" borderId="51" xfId="0" applyFont="1" applyBorder="1" applyAlignment="1">
      <alignment horizontal="left"/>
    </xf>
    <xf numFmtId="1" fontId="22" fillId="0" borderId="52" xfId="0" applyNumberFormat="1" applyFont="1" applyBorder="1" applyAlignment="1">
      <alignment horizontal="left"/>
    </xf>
    <xf numFmtId="1" fontId="22" fillId="0" borderId="39" xfId="0" applyNumberFormat="1" applyFont="1" applyBorder="1" applyAlignment="1">
      <alignment horizontal="left"/>
    </xf>
    <xf numFmtId="1" fontId="22" fillId="0" borderId="18" xfId="0" applyNumberFormat="1" applyFont="1" applyBorder="1" applyAlignment="1">
      <alignment horizontal="left"/>
    </xf>
    <xf numFmtId="0" fontId="24" fillId="0" borderId="16" xfId="0" applyFont="1" applyBorder="1" applyAlignment="1">
      <alignment horizontal="left"/>
    </xf>
    <xf numFmtId="0" fontId="17" fillId="0" borderId="34" xfId="0" applyFont="1" applyBorder="1" applyAlignment="1">
      <alignment horizontal="left"/>
    </xf>
    <xf numFmtId="1" fontId="17" fillId="0" borderId="33" xfId="0" applyNumberFormat="1" applyFont="1" applyBorder="1" applyAlignment="1">
      <alignment horizontal="left"/>
    </xf>
    <xf numFmtId="0" fontId="17" fillId="0" borderId="32" xfId="0" applyFont="1" applyBorder="1" applyAlignment="1">
      <alignment horizontal="left"/>
    </xf>
    <xf numFmtId="1" fontId="24" fillId="0" borderId="1" xfId="0" applyNumberFormat="1" applyFont="1" applyBorder="1" applyAlignment="1">
      <alignment horizontal="left" vertical="center"/>
    </xf>
    <xf numFmtId="2" fontId="24" fillId="0" borderId="4" xfId="1" applyNumberFormat="1" applyFont="1" applyBorder="1" applyAlignment="1">
      <alignment horizontal="left"/>
    </xf>
    <xf numFmtId="1" fontId="24" fillId="0" borderId="4" xfId="1" applyNumberFormat="1" applyFont="1" applyBorder="1" applyAlignment="1">
      <alignment horizontal="left"/>
    </xf>
    <xf numFmtId="1" fontId="14" fillId="0" borderId="14" xfId="0" applyNumberFormat="1" applyFont="1" applyFill="1" applyBorder="1" applyAlignment="1">
      <alignment horizontal="left"/>
    </xf>
    <xf numFmtId="1" fontId="5" fillId="0" borderId="4" xfId="0" applyNumberFormat="1" applyFont="1" applyBorder="1" applyAlignment="1">
      <alignment horizontal="left"/>
    </xf>
    <xf numFmtId="0" fontId="26" fillId="0" borderId="15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26" fillId="0" borderId="53" xfId="0" applyFont="1" applyBorder="1" applyAlignment="1">
      <alignment horizontal="left"/>
    </xf>
    <xf numFmtId="0" fontId="28" fillId="0" borderId="0" xfId="0" applyFont="1" applyAlignment="1">
      <alignment horizontal="left"/>
    </xf>
    <xf numFmtId="2" fontId="26" fillId="0" borderId="1" xfId="0" applyNumberFormat="1" applyFont="1" applyBorder="1" applyAlignment="1">
      <alignment horizontal="left" vertical="center"/>
    </xf>
    <xf numFmtId="2" fontId="26" fillId="0" borderId="4" xfId="0" applyNumberFormat="1" applyFont="1" applyBorder="1" applyAlignment="1">
      <alignment horizontal="left" vertical="center"/>
    </xf>
    <xf numFmtId="2" fontId="26" fillId="0" borderId="17" xfId="0" applyNumberFormat="1" applyFont="1" applyBorder="1" applyAlignment="1">
      <alignment horizontal="left" vertical="center"/>
    </xf>
    <xf numFmtId="2" fontId="26" fillId="0" borderId="19" xfId="0" applyNumberFormat="1" applyFont="1" applyBorder="1" applyAlignment="1">
      <alignment horizontal="left" vertical="center"/>
    </xf>
    <xf numFmtId="2" fontId="26" fillId="0" borderId="2" xfId="0" applyNumberFormat="1" applyFont="1" applyBorder="1" applyAlignment="1">
      <alignment horizontal="left" vertical="center"/>
    </xf>
    <xf numFmtId="2" fontId="26" fillId="0" borderId="14" xfId="0" applyNumberFormat="1" applyFont="1" applyBorder="1" applyAlignment="1">
      <alignment horizontal="left" vertical="center"/>
    </xf>
    <xf numFmtId="2" fontId="26" fillId="0" borderId="3" xfId="0" applyNumberFormat="1" applyFont="1" applyBorder="1" applyAlignment="1">
      <alignment horizontal="left" vertical="center"/>
    </xf>
    <xf numFmtId="2" fontId="26" fillId="0" borderId="1" xfId="1" applyNumberFormat="1" applyFont="1" applyBorder="1" applyAlignment="1">
      <alignment horizontal="left"/>
    </xf>
    <xf numFmtId="0" fontId="26" fillId="0" borderId="0" xfId="0" applyFont="1" applyAlignment="1">
      <alignment horizontal="left"/>
    </xf>
    <xf numFmtId="2" fontId="26" fillId="0" borderId="13" xfId="0" applyNumberFormat="1" applyFont="1" applyBorder="1" applyAlignment="1">
      <alignment horizontal="left" vertical="center"/>
    </xf>
    <xf numFmtId="2" fontId="26" fillId="0" borderId="54" xfId="0" applyNumberFormat="1" applyFont="1" applyBorder="1" applyAlignment="1">
      <alignment horizontal="left" vertical="center"/>
    </xf>
    <xf numFmtId="2" fontId="26" fillId="0" borderId="55" xfId="0" applyNumberFormat="1" applyFont="1" applyBorder="1" applyAlignment="1">
      <alignment horizontal="left" vertical="center"/>
    </xf>
    <xf numFmtId="2" fontId="26" fillId="0" borderId="56" xfId="0" applyNumberFormat="1" applyFont="1" applyBorder="1" applyAlignment="1">
      <alignment horizontal="left" vertical="center"/>
    </xf>
    <xf numFmtId="2" fontId="26" fillId="0" borderId="11" xfId="0" applyNumberFormat="1" applyFont="1" applyBorder="1" applyAlignment="1">
      <alignment horizontal="left" vertical="center"/>
    </xf>
    <xf numFmtId="2" fontId="26" fillId="0" borderId="57" xfId="0" applyNumberFormat="1" applyFont="1" applyBorder="1" applyAlignment="1">
      <alignment horizontal="left" vertical="center"/>
    </xf>
    <xf numFmtId="2" fontId="26" fillId="0" borderId="12" xfId="0" applyNumberFormat="1" applyFont="1" applyBorder="1" applyAlignment="1">
      <alignment horizontal="left" vertical="center"/>
    </xf>
    <xf numFmtId="2" fontId="26" fillId="0" borderId="13" xfId="1" applyNumberFormat="1" applyFont="1" applyBorder="1" applyAlignment="1">
      <alignment horizontal="left"/>
    </xf>
    <xf numFmtId="0" fontId="29" fillId="0" borderId="0" xfId="0" applyFont="1" applyAlignment="1">
      <alignment horizontal="left"/>
    </xf>
    <xf numFmtId="0" fontId="28" fillId="0" borderId="47" xfId="0" applyFont="1" applyBorder="1" applyAlignment="1">
      <alignment horizontal="left"/>
    </xf>
    <xf numFmtId="2" fontId="26" fillId="0" borderId="46" xfId="0" applyNumberFormat="1" applyFont="1" applyBorder="1" applyAlignment="1">
      <alignment horizontal="left" vertical="center"/>
    </xf>
    <xf numFmtId="2" fontId="26" fillId="0" borderId="49" xfId="0" applyNumberFormat="1" applyFont="1" applyBorder="1" applyAlignment="1">
      <alignment horizontal="left" vertical="center"/>
    </xf>
    <xf numFmtId="2" fontId="26" fillId="0" borderId="42" xfId="0" applyNumberFormat="1" applyFont="1" applyBorder="1" applyAlignment="1">
      <alignment horizontal="left" vertical="center"/>
    </xf>
    <xf numFmtId="2" fontId="26" fillId="0" borderId="58" xfId="0" applyNumberFormat="1" applyFont="1" applyBorder="1" applyAlignment="1">
      <alignment horizontal="left" vertical="center"/>
    </xf>
    <xf numFmtId="2" fontId="30" fillId="0" borderId="46" xfId="0" applyNumberFormat="1" applyFont="1" applyBorder="1" applyAlignment="1">
      <alignment horizontal="left"/>
    </xf>
    <xf numFmtId="2" fontId="30" fillId="0" borderId="42" xfId="1" applyNumberFormat="1" applyFont="1" applyBorder="1" applyAlignment="1">
      <alignment horizontal="left"/>
    </xf>
    <xf numFmtId="2" fontId="30" fillId="0" borderId="42" xfId="0" applyNumberFormat="1" applyFont="1" applyBorder="1" applyAlignment="1">
      <alignment horizontal="left"/>
    </xf>
    <xf numFmtId="2" fontId="30" fillId="0" borderId="47" xfId="0" applyNumberFormat="1" applyFont="1" applyBorder="1" applyAlignment="1">
      <alignment horizontal="left"/>
    </xf>
    <xf numFmtId="0" fontId="31" fillId="0" borderId="0" xfId="0" applyFont="1" applyAlignment="1">
      <alignment horizontal="left"/>
    </xf>
    <xf numFmtId="0" fontId="28" fillId="0" borderId="59" xfId="0" applyFont="1" applyBorder="1" applyAlignment="1">
      <alignment horizontal="left"/>
    </xf>
    <xf numFmtId="2" fontId="26" fillId="0" borderId="60" xfId="0" applyNumberFormat="1" applyFont="1" applyBorder="1" applyAlignment="1">
      <alignment horizontal="left" vertical="center"/>
    </xf>
    <xf numFmtId="2" fontId="26" fillId="0" borderId="61" xfId="0" applyNumberFormat="1" applyFont="1" applyBorder="1" applyAlignment="1">
      <alignment horizontal="left" vertical="center"/>
    </xf>
    <xf numFmtId="2" fontId="26" fillId="0" borderId="62" xfId="0" applyNumberFormat="1" applyFont="1" applyBorder="1" applyAlignment="1">
      <alignment horizontal="left" vertical="center"/>
    </xf>
    <xf numFmtId="2" fontId="26" fillId="0" borderId="63" xfId="0" applyNumberFormat="1" applyFont="1" applyBorder="1" applyAlignment="1">
      <alignment horizontal="left" vertical="center"/>
    </xf>
    <xf numFmtId="2" fontId="30" fillId="0" borderId="60" xfId="0" applyNumberFormat="1" applyFont="1" applyBorder="1" applyAlignment="1">
      <alignment horizontal="left"/>
    </xf>
    <xf numFmtId="2" fontId="30" fillId="0" borderId="62" xfId="0" applyNumberFormat="1" applyFont="1" applyBorder="1" applyAlignment="1">
      <alignment horizontal="left"/>
    </xf>
    <xf numFmtId="2" fontId="30" fillId="0" borderId="59" xfId="0" applyNumberFormat="1" applyFont="1" applyBorder="1" applyAlignment="1">
      <alignment horizontal="left"/>
    </xf>
    <xf numFmtId="0" fontId="14" fillId="0" borderId="0" xfId="0" applyFont="1"/>
    <xf numFmtId="0" fontId="18" fillId="0" borderId="16" xfId="0" applyFont="1" applyBorder="1" applyAlignment="1">
      <alignment horizontal="left"/>
    </xf>
    <xf numFmtId="0" fontId="19" fillId="0" borderId="17" xfId="0" applyFont="1" applyBorder="1"/>
    <xf numFmtId="0" fontId="19" fillId="0" borderId="3" xfId="0" applyFont="1" applyBorder="1"/>
    <xf numFmtId="0" fontId="19" fillId="0" borderId="19" xfId="0" applyFont="1" applyBorder="1"/>
    <xf numFmtId="0" fontId="20" fillId="0" borderId="0" xfId="0" applyFont="1"/>
    <xf numFmtId="2" fontId="20" fillId="0" borderId="16" xfId="0" applyNumberFormat="1" applyFont="1" applyBorder="1" applyAlignment="1">
      <alignment vertical="center"/>
    </xf>
    <xf numFmtId="2" fontId="21" fillId="0" borderId="16" xfId="0" applyNumberFormat="1" applyFont="1" applyBorder="1" applyAlignment="1">
      <alignment vertical="center"/>
    </xf>
    <xf numFmtId="2" fontId="20" fillId="0" borderId="17" xfId="0" applyNumberFormat="1" applyFont="1" applyBorder="1" applyAlignment="1">
      <alignment horizontal="right"/>
    </xf>
    <xf numFmtId="2" fontId="21" fillId="0" borderId="17" xfId="0" applyNumberFormat="1" applyFont="1" applyBorder="1" applyAlignment="1">
      <alignment horizontal="right"/>
    </xf>
    <xf numFmtId="0" fontId="25" fillId="0" borderId="34" xfId="0" applyFont="1" applyBorder="1" applyAlignment="1">
      <alignment horizontal="left"/>
    </xf>
    <xf numFmtId="0" fontId="25" fillId="0" borderId="50" xfId="0" applyFont="1" applyBorder="1" applyAlignment="1">
      <alignment horizontal="left"/>
    </xf>
    <xf numFmtId="0" fontId="21" fillId="0" borderId="32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9" fillId="0" borderId="50" xfId="0" applyFont="1" applyBorder="1"/>
    <xf numFmtId="0" fontId="19" fillId="0" borderId="34" xfId="0" applyFont="1" applyBorder="1"/>
    <xf numFmtId="0" fontId="21" fillId="0" borderId="32" xfId="0" applyFont="1" applyBorder="1" applyAlignment="1">
      <alignment horizontal="center" vertical="center"/>
    </xf>
    <xf numFmtId="2" fontId="20" fillId="0" borderId="16" xfId="0" applyNumberFormat="1" applyFont="1" applyBorder="1" applyAlignment="1">
      <alignment horizontal="right"/>
    </xf>
    <xf numFmtId="2" fontId="21" fillId="0" borderId="16" xfId="0" applyNumberFormat="1" applyFont="1" applyBorder="1" applyAlignment="1">
      <alignment horizontal="right"/>
    </xf>
    <xf numFmtId="0" fontId="15" fillId="0" borderId="10" xfId="0" applyFont="1" applyBorder="1" applyAlignment="1">
      <alignment horizontal="center" vertical="center"/>
    </xf>
    <xf numFmtId="2" fontId="14" fillId="0" borderId="17" xfId="0" applyNumberFormat="1" applyFont="1" applyBorder="1" applyAlignment="1">
      <alignment horizontal="right"/>
    </xf>
    <xf numFmtId="2" fontId="15" fillId="0" borderId="17" xfId="0" applyNumberFormat="1" applyFont="1" applyBorder="1" applyAlignment="1">
      <alignment horizontal="right"/>
    </xf>
    <xf numFmtId="0" fontId="14" fillId="0" borderId="18" xfId="0" applyFont="1" applyBorder="1" applyAlignment="1">
      <alignment horizontal="left"/>
    </xf>
    <xf numFmtId="2" fontId="14" fillId="0" borderId="17" xfId="0" applyNumberFormat="1" applyFont="1" applyBorder="1" applyAlignment="1">
      <alignment horizontal="left"/>
    </xf>
    <xf numFmtId="2" fontId="15" fillId="0" borderId="17" xfId="0" applyNumberFormat="1" applyFont="1" applyBorder="1" applyAlignment="1">
      <alignment horizontal="left"/>
    </xf>
    <xf numFmtId="2" fontId="24" fillId="0" borderId="17" xfId="0" applyNumberFormat="1" applyFont="1" applyBorder="1" applyAlignment="1">
      <alignment horizontal="left"/>
    </xf>
    <xf numFmtId="2" fontId="20" fillId="0" borderId="17" xfId="2" applyNumberFormat="1" applyFont="1" applyBorder="1" applyAlignment="1">
      <alignment horizontal="right"/>
    </xf>
    <xf numFmtId="2" fontId="20" fillId="0" borderId="17" xfId="1" applyNumberFormat="1" applyFont="1" applyBorder="1" applyAlignment="1">
      <alignment horizontal="right"/>
    </xf>
    <xf numFmtId="2" fontId="2" fillId="0" borderId="17" xfId="0" applyNumberFormat="1" applyFont="1" applyBorder="1" applyAlignment="1">
      <alignment horizontal="right"/>
    </xf>
    <xf numFmtId="2" fontId="20" fillId="0" borderId="17" xfId="0" applyNumberFormat="1" applyFont="1" applyBorder="1" applyAlignment="1">
      <alignment horizontal="right" wrapText="1"/>
    </xf>
    <xf numFmtId="3" fontId="17" fillId="0" borderId="17" xfId="0" applyNumberFormat="1" applyFont="1" applyBorder="1" applyAlignment="1">
      <alignment horizontal="right"/>
    </xf>
    <xf numFmtId="3" fontId="25" fillId="0" borderId="17" xfId="0" applyNumberFormat="1" applyFont="1" applyBorder="1" applyAlignment="1">
      <alignment horizontal="right"/>
    </xf>
    <xf numFmtId="165" fontId="17" fillId="0" borderId="17" xfId="0" applyNumberFormat="1" applyFont="1" applyBorder="1" applyAlignment="1">
      <alignment horizontal="right"/>
    </xf>
    <xf numFmtId="2" fontId="20" fillId="0" borderId="17" xfId="0" applyNumberFormat="1" applyFont="1" applyFill="1" applyBorder="1" applyAlignment="1">
      <alignment horizontal="right"/>
    </xf>
    <xf numFmtId="1" fontId="32" fillId="0" borderId="0" xfId="0" applyNumberFormat="1" applyFont="1" applyAlignment="1">
      <alignment horizontal="left"/>
    </xf>
    <xf numFmtId="0" fontId="33" fillId="0" borderId="0" xfId="0" applyFont="1" applyBorder="1" applyAlignment="1">
      <alignment horizontal="left"/>
    </xf>
    <xf numFmtId="1" fontId="15" fillId="0" borderId="8" xfId="0" applyNumberFormat="1" applyFont="1" applyBorder="1" applyAlignment="1">
      <alignment horizontal="left" vertical="center"/>
    </xf>
    <xf numFmtId="1" fontId="15" fillId="0" borderId="5" xfId="0" applyNumberFormat="1" applyFont="1" applyBorder="1" applyAlignment="1">
      <alignment horizontal="left" vertical="center"/>
    </xf>
    <xf numFmtId="1" fontId="15" fillId="0" borderId="9" xfId="0" applyNumberFormat="1" applyFont="1" applyBorder="1" applyAlignment="1">
      <alignment horizontal="left" vertical="center"/>
    </xf>
    <xf numFmtId="1" fontId="14" fillId="0" borderId="7" xfId="0" applyNumberFormat="1" applyFont="1" applyFill="1" applyBorder="1" applyAlignment="1">
      <alignment horizontal="left" vertical="center" shrinkToFit="1"/>
    </xf>
    <xf numFmtId="1" fontId="15" fillId="0" borderId="7" xfId="0" applyNumberFormat="1" applyFont="1" applyBorder="1" applyAlignment="1">
      <alignment horizontal="left" vertical="center"/>
    </xf>
    <xf numFmtId="1" fontId="15" fillId="0" borderId="32" xfId="0" applyNumberFormat="1" applyFont="1" applyBorder="1" applyAlignment="1">
      <alignment horizontal="left" vertical="center"/>
    </xf>
    <xf numFmtId="0" fontId="33" fillId="0" borderId="64" xfId="0" applyFont="1" applyBorder="1" applyAlignment="1">
      <alignment horizontal="left"/>
    </xf>
    <xf numFmtId="0" fontId="33" fillId="0" borderId="61" xfId="0" applyFont="1" applyBorder="1" applyAlignment="1">
      <alignment horizontal="left"/>
    </xf>
    <xf numFmtId="0" fontId="33" fillId="0" borderId="63" xfId="0" applyFont="1" applyBorder="1" applyAlignment="1">
      <alignment horizontal="left"/>
    </xf>
    <xf numFmtId="0" fontId="34" fillId="0" borderId="0" xfId="0" applyFont="1"/>
    <xf numFmtId="0" fontId="35" fillId="0" borderId="0" xfId="0" applyFont="1"/>
    <xf numFmtId="1" fontId="36" fillId="0" borderId="0" xfId="0" applyNumberFormat="1" applyFont="1"/>
    <xf numFmtId="1" fontId="24" fillId="0" borderId="1" xfId="0" applyNumberFormat="1" applyFont="1" applyBorder="1" applyAlignment="1">
      <alignment horizontal="left" wrapText="1"/>
    </xf>
    <xf numFmtId="1" fontId="24" fillId="0" borderId="1" xfId="0" applyNumberFormat="1" applyFont="1" applyFill="1" applyBorder="1" applyAlignment="1">
      <alignment horizontal="left"/>
    </xf>
    <xf numFmtId="1" fontId="22" fillId="0" borderId="34" xfId="0" applyNumberFormat="1" applyFont="1" applyBorder="1" applyAlignment="1">
      <alignment horizontal="left" vertical="center"/>
    </xf>
    <xf numFmtId="1" fontId="25" fillId="0" borderId="1" xfId="0" applyNumberFormat="1" applyFont="1" applyBorder="1" applyAlignment="1">
      <alignment horizontal="left"/>
    </xf>
    <xf numFmtId="1" fontId="22" fillId="0" borderId="1" xfId="1" applyNumberFormat="1" applyFont="1" applyBorder="1" applyAlignment="1">
      <alignment horizontal="left"/>
    </xf>
    <xf numFmtId="1" fontId="22" fillId="0" borderId="4" xfId="1" applyNumberFormat="1" applyFont="1" applyBorder="1" applyAlignment="1">
      <alignment horizontal="left"/>
    </xf>
    <xf numFmtId="1" fontId="22" fillId="0" borderId="0" xfId="0" applyNumberFormat="1" applyFont="1" applyAlignment="1">
      <alignment horizontal="left"/>
    </xf>
    <xf numFmtId="1" fontId="22" fillId="0" borderId="2" xfId="0" applyNumberFormat="1" applyFont="1" applyBorder="1" applyAlignment="1">
      <alignment horizontal="left" vertical="center"/>
    </xf>
    <xf numFmtId="1" fontId="3" fillId="0" borderId="4" xfId="0" applyNumberFormat="1" applyFont="1" applyBorder="1" applyAlignment="1">
      <alignment horizontal="left"/>
    </xf>
    <xf numFmtId="1" fontId="22" fillId="0" borderId="16" xfId="0" applyNumberFormat="1" applyFont="1" applyBorder="1" applyAlignment="1">
      <alignment horizontal="left" vertical="center"/>
    </xf>
    <xf numFmtId="1" fontId="24" fillId="0" borderId="20" xfId="0" applyNumberFormat="1" applyFont="1" applyBorder="1" applyAlignment="1">
      <alignment horizontal="left" vertical="center"/>
    </xf>
    <xf numFmtId="1" fontId="24" fillId="0" borderId="23" xfId="0" applyNumberFormat="1" applyFont="1" applyBorder="1" applyAlignment="1">
      <alignment horizontal="left" vertical="center"/>
    </xf>
    <xf numFmtId="1" fontId="24" fillId="0" borderId="20" xfId="0" applyNumberFormat="1" applyFont="1" applyBorder="1" applyAlignment="1">
      <alignment horizontal="left" wrapText="1"/>
    </xf>
    <xf numFmtId="1" fontId="17" fillId="0" borderId="20" xfId="0" applyNumberFormat="1" applyFont="1" applyBorder="1" applyAlignment="1">
      <alignment horizontal="left"/>
    </xf>
    <xf numFmtId="1" fontId="17" fillId="0" borderId="21" xfId="0" applyNumberFormat="1" applyFont="1" applyBorder="1" applyAlignment="1">
      <alignment horizontal="left"/>
    </xf>
    <xf numFmtId="1" fontId="17" fillId="0" borderId="24" xfId="0" applyNumberFormat="1" applyFont="1" applyBorder="1" applyAlignment="1">
      <alignment horizontal="left"/>
    </xf>
    <xf numFmtId="1" fontId="24" fillId="0" borderId="20" xfId="0" applyNumberFormat="1" applyFont="1" applyFill="1" applyBorder="1" applyAlignment="1">
      <alignment horizontal="left"/>
    </xf>
    <xf numFmtId="1" fontId="37" fillId="0" borderId="0" xfId="0" applyNumberFormat="1" applyFont="1" applyAlignment="1">
      <alignment horizontal="left"/>
    </xf>
    <xf numFmtId="1" fontId="22" fillId="0" borderId="31" xfId="0" applyNumberFormat="1" applyFont="1" applyBorder="1" applyAlignment="1">
      <alignment horizontal="left"/>
    </xf>
    <xf numFmtId="1" fontId="37" fillId="0" borderId="62" xfId="0" applyNumberFormat="1" applyFont="1" applyBorder="1" applyAlignment="1">
      <alignment horizontal="left" vertical="center"/>
    </xf>
    <xf numFmtId="1" fontId="37" fillId="0" borderId="64" xfId="0" applyNumberFormat="1" applyFont="1" applyBorder="1" applyAlignment="1">
      <alignment horizontal="left" vertical="center"/>
    </xf>
    <xf numFmtId="1" fontId="37" fillId="0" borderId="59" xfId="0" applyNumberFormat="1" applyFont="1" applyBorder="1" applyAlignment="1">
      <alignment horizontal="left" vertical="center"/>
    </xf>
    <xf numFmtId="1" fontId="37" fillId="0" borderId="60" xfId="0" applyNumberFormat="1" applyFont="1" applyBorder="1" applyAlignment="1">
      <alignment horizontal="left" vertical="center"/>
    </xf>
    <xf numFmtId="1" fontId="37" fillId="0" borderId="65" xfId="0" applyNumberFormat="1" applyFont="1" applyBorder="1" applyAlignment="1">
      <alignment horizontal="left"/>
    </xf>
    <xf numFmtId="1" fontId="37" fillId="0" borderId="62" xfId="0" applyNumberFormat="1" applyFont="1" applyBorder="1" applyAlignment="1">
      <alignment horizontal="left"/>
    </xf>
    <xf numFmtId="1" fontId="37" fillId="0" borderId="60" xfId="0" applyNumberFormat="1" applyFont="1" applyBorder="1" applyAlignment="1">
      <alignment horizontal="left"/>
    </xf>
    <xf numFmtId="1" fontId="37" fillId="0" borderId="62" xfId="1" applyNumberFormat="1" applyFont="1" applyBorder="1" applyAlignment="1">
      <alignment horizontal="left"/>
    </xf>
    <xf numFmtId="1" fontId="37" fillId="0" borderId="60" xfId="1" applyNumberFormat="1" applyFont="1" applyBorder="1" applyAlignment="1">
      <alignment horizontal="left"/>
    </xf>
    <xf numFmtId="1" fontId="37" fillId="0" borderId="59" xfId="0" applyNumberFormat="1" applyFont="1" applyBorder="1" applyAlignment="1">
      <alignment horizontal="left"/>
    </xf>
    <xf numFmtId="1" fontId="33" fillId="0" borderId="64" xfId="0" applyNumberFormat="1" applyFont="1" applyBorder="1" applyAlignment="1">
      <alignment horizontal="left"/>
    </xf>
    <xf numFmtId="1" fontId="38" fillId="0" borderId="0" xfId="0" applyNumberFormat="1" applyFont="1" applyAlignment="1">
      <alignment horizontal="left"/>
    </xf>
    <xf numFmtId="1" fontId="36" fillId="0" borderId="0" xfId="0" applyNumberFormat="1" applyFont="1" applyAlignment="1">
      <alignment horizontal="left"/>
    </xf>
    <xf numFmtId="0" fontId="37" fillId="0" borderId="59" xfId="0" applyFont="1" applyBorder="1" applyAlignment="1">
      <alignment horizontal="left"/>
    </xf>
    <xf numFmtId="1" fontId="37" fillId="0" borderId="65" xfId="0" applyNumberFormat="1" applyFont="1" applyBorder="1" applyAlignment="1">
      <alignment horizontal="left" vertical="center"/>
    </xf>
    <xf numFmtId="1" fontId="37" fillId="0" borderId="63" xfId="0" applyNumberFormat="1" applyFont="1" applyBorder="1" applyAlignment="1">
      <alignment horizontal="left"/>
    </xf>
    <xf numFmtId="0" fontId="36" fillId="0" borderId="0" xfId="0" applyFont="1" applyAlignment="1">
      <alignment horizontal="left"/>
    </xf>
    <xf numFmtId="2" fontId="36" fillId="0" borderId="64" xfId="0" applyNumberFormat="1" applyFont="1" applyBorder="1" applyAlignment="1">
      <alignment horizontal="left"/>
    </xf>
    <xf numFmtId="2" fontId="36" fillId="0" borderId="61" xfId="0" applyNumberFormat="1" applyFont="1" applyBorder="1" applyAlignment="1">
      <alignment horizontal="left"/>
    </xf>
    <xf numFmtId="2" fontId="36" fillId="0" borderId="63" xfId="0" applyNumberFormat="1" applyFont="1" applyBorder="1" applyAlignment="1">
      <alignment horizontal="left"/>
    </xf>
    <xf numFmtId="1" fontId="36" fillId="0" borderId="63" xfId="0" applyNumberFormat="1" applyFont="1" applyBorder="1" applyAlignment="1">
      <alignment horizontal="left"/>
    </xf>
    <xf numFmtId="1" fontId="36" fillId="0" borderId="61" xfId="0" applyNumberFormat="1" applyFont="1" applyBorder="1" applyAlignment="1">
      <alignment horizontal="left"/>
    </xf>
    <xf numFmtId="1" fontId="36" fillId="0" borderId="64" xfId="0" applyNumberFormat="1" applyFont="1" applyBorder="1" applyAlignment="1">
      <alignment horizontal="left"/>
    </xf>
    <xf numFmtId="2" fontId="36" fillId="0" borderId="60" xfId="0" applyNumberFormat="1" applyFont="1" applyBorder="1" applyAlignment="1">
      <alignment horizontal="left"/>
    </xf>
    <xf numFmtId="2" fontId="36" fillId="0" borderId="65" xfId="0" applyNumberFormat="1" applyFont="1" applyBorder="1" applyAlignment="1">
      <alignment horizontal="left"/>
    </xf>
    <xf numFmtId="0" fontId="37" fillId="0" borderId="63" xfId="0" applyFont="1" applyBorder="1" applyAlignment="1">
      <alignment horizontal="left"/>
    </xf>
    <xf numFmtId="0" fontId="36" fillId="0" borderId="0" xfId="0" applyFont="1"/>
    <xf numFmtId="0" fontId="33" fillId="0" borderId="48" xfId="0" applyFont="1" applyBorder="1" applyAlignment="1">
      <alignment horizontal="left"/>
    </xf>
    <xf numFmtId="0" fontId="34" fillId="0" borderId="55" xfId="0" applyFont="1" applyBorder="1"/>
    <xf numFmtId="0" fontId="34" fillId="0" borderId="56" xfId="0" applyFont="1" applyBorder="1"/>
    <xf numFmtId="0" fontId="34" fillId="0" borderId="48" xfId="0" applyFont="1" applyBorder="1"/>
    <xf numFmtId="0" fontId="37" fillId="0" borderId="61" xfId="0" applyFont="1" applyBorder="1" applyAlignment="1">
      <alignment horizontal="left"/>
    </xf>
    <xf numFmtId="0" fontId="18" fillId="0" borderId="34" xfId="0" applyFont="1" applyBorder="1" applyAlignment="1">
      <alignment horizontal="left"/>
    </xf>
    <xf numFmtId="0" fontId="32" fillId="0" borderId="59" xfId="0" applyFont="1" applyBorder="1" applyAlignment="1">
      <alignment horizontal="left" vertical="justify" wrapText="1"/>
    </xf>
    <xf numFmtId="0" fontId="33" fillId="0" borderId="64" xfId="0" applyFont="1" applyFill="1" applyBorder="1" applyAlignment="1">
      <alignment horizontal="left" vertical="justify" wrapText="1"/>
    </xf>
    <xf numFmtId="0" fontId="32" fillId="0" borderId="0" xfId="0" applyFont="1" applyAlignment="1">
      <alignment horizontal="left" vertical="justify" wrapText="1"/>
    </xf>
    <xf numFmtId="2" fontId="33" fillId="0" borderId="59" xfId="0" applyNumberFormat="1" applyFont="1" applyBorder="1" applyAlignment="1">
      <alignment horizontal="left"/>
    </xf>
    <xf numFmtId="2" fontId="33" fillId="0" borderId="64" xfId="0" applyNumberFormat="1" applyFont="1" applyBorder="1" applyAlignment="1">
      <alignment horizontal="left" vertical="center"/>
    </xf>
    <xf numFmtId="2" fontId="33" fillId="0" borderId="64" xfId="0" applyNumberFormat="1" applyFont="1" applyBorder="1" applyAlignment="1">
      <alignment horizontal="left"/>
    </xf>
    <xf numFmtId="2" fontId="33" fillId="0" borderId="64" xfId="2" applyNumberFormat="1" applyFont="1" applyBorder="1" applyAlignment="1">
      <alignment horizontal="left"/>
    </xf>
    <xf numFmtId="2" fontId="33" fillId="0" borderId="64" xfId="0" applyNumberFormat="1" applyFont="1" applyBorder="1" applyAlignment="1">
      <alignment horizontal="left" wrapText="1"/>
    </xf>
    <xf numFmtId="2" fontId="33" fillId="0" borderId="64" xfId="0" applyNumberFormat="1" applyFont="1" applyFill="1" applyBorder="1" applyAlignment="1">
      <alignment horizontal="left"/>
    </xf>
    <xf numFmtId="2" fontId="33" fillId="0" borderId="59" xfId="1" applyNumberFormat="1" applyFont="1" applyBorder="1" applyAlignment="1">
      <alignment horizontal="left"/>
    </xf>
    <xf numFmtId="2" fontId="33" fillId="0" borderId="63" xfId="0" applyNumberFormat="1" applyFont="1" applyBorder="1" applyAlignment="1">
      <alignment horizontal="left"/>
    </xf>
    <xf numFmtId="2" fontId="32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1" fontId="37" fillId="0" borderId="42" xfId="0" applyNumberFormat="1" applyFont="1" applyBorder="1" applyAlignment="1">
      <alignment horizontal="left"/>
    </xf>
    <xf numFmtId="1" fontId="24" fillId="0" borderId="66" xfId="0" applyNumberFormat="1" applyFont="1" applyBorder="1" applyAlignment="1">
      <alignment horizontal="left"/>
    </xf>
    <xf numFmtId="1" fontId="24" fillId="0" borderId="42" xfId="0" applyNumberFormat="1" applyFont="1" applyBorder="1" applyAlignment="1">
      <alignment horizontal="left"/>
    </xf>
    <xf numFmtId="1" fontId="36" fillId="0" borderId="62" xfId="0" applyNumberFormat="1" applyFont="1" applyBorder="1" applyAlignment="1">
      <alignment horizontal="left"/>
    </xf>
    <xf numFmtId="1" fontId="36" fillId="0" borderId="66" xfId="0" applyNumberFormat="1" applyFont="1" applyBorder="1" applyAlignment="1">
      <alignment horizontal="left"/>
    </xf>
    <xf numFmtId="1" fontId="37" fillId="0" borderId="66" xfId="0" applyNumberFormat="1" applyFont="1" applyBorder="1" applyAlignment="1">
      <alignment horizontal="left" vertical="center"/>
    </xf>
    <xf numFmtId="1" fontId="24" fillId="0" borderId="67" xfId="0" applyNumberFormat="1" applyFont="1" applyBorder="1" applyAlignment="1">
      <alignment horizontal="left"/>
    </xf>
    <xf numFmtId="1" fontId="24" fillId="0" borderId="39" xfId="0" applyNumberFormat="1" applyFont="1" applyBorder="1" applyAlignment="1">
      <alignment horizontal="left"/>
    </xf>
    <xf numFmtId="1" fontId="24" fillId="0" borderId="60" xfId="0" applyNumberFormat="1" applyFont="1" applyBorder="1" applyAlignment="1">
      <alignment horizontal="left"/>
    </xf>
    <xf numFmtId="1" fontId="36" fillId="0" borderId="60" xfId="0" applyNumberFormat="1" applyFont="1" applyBorder="1" applyAlignment="1">
      <alignment horizontal="left"/>
    </xf>
    <xf numFmtId="1" fontId="37" fillId="0" borderId="45" xfId="0" applyNumberFormat="1" applyFont="1" applyBorder="1" applyAlignment="1">
      <alignment horizontal="left" vertical="center"/>
    </xf>
    <xf numFmtId="0" fontId="24" fillId="0" borderId="62" xfId="0" applyFont="1" applyBorder="1" applyAlignment="1">
      <alignment horizontal="left"/>
    </xf>
    <xf numFmtId="2" fontId="24" fillId="0" borderId="52" xfId="0" applyNumberFormat="1" applyFont="1" applyBorder="1" applyAlignment="1">
      <alignment horizontal="left"/>
    </xf>
    <xf numFmtId="2" fontId="36" fillId="0" borderId="29" xfId="0" applyNumberFormat="1" applyFont="1" applyBorder="1" applyAlignment="1">
      <alignment horizontal="left"/>
    </xf>
    <xf numFmtId="0" fontId="37" fillId="0" borderId="64" xfId="0" applyFont="1" applyBorder="1" applyAlignment="1">
      <alignment horizontal="left"/>
    </xf>
    <xf numFmtId="0" fontId="22" fillId="0" borderId="26" xfId="0" applyFont="1" applyBorder="1" applyAlignment="1">
      <alignment horizontal="left"/>
    </xf>
    <xf numFmtId="0" fontId="22" fillId="0" borderId="6" xfId="0" applyFont="1" applyBorder="1" applyAlignment="1">
      <alignment horizontal="left"/>
    </xf>
    <xf numFmtId="2" fontId="37" fillId="0" borderId="42" xfId="0" applyNumberFormat="1" applyFont="1" applyBorder="1" applyAlignment="1">
      <alignment horizontal="left" vertical="center"/>
    </xf>
    <xf numFmtId="0" fontId="24" fillId="0" borderId="66" xfId="0" applyFont="1" applyBorder="1" applyAlignment="1">
      <alignment horizontal="left"/>
    </xf>
    <xf numFmtId="2" fontId="24" fillId="0" borderId="67" xfId="0" applyNumberFormat="1" applyFont="1" applyBorder="1" applyAlignment="1">
      <alignment horizontal="left"/>
    </xf>
    <xf numFmtId="2" fontId="36" fillId="0" borderId="68" xfId="0" applyNumberFormat="1" applyFont="1" applyBorder="1" applyAlignment="1">
      <alignment horizontal="left"/>
    </xf>
    <xf numFmtId="1" fontId="37" fillId="0" borderId="59" xfId="0" applyNumberFormat="1" applyFont="1" applyBorder="1" applyAlignment="1">
      <alignment horizontal="center" vertical="justify" wrapText="1"/>
    </xf>
    <xf numFmtId="1" fontId="20" fillId="0" borderId="3" xfId="2" applyNumberFormat="1" applyFont="1" applyBorder="1" applyAlignment="1">
      <alignment horizontal="left"/>
    </xf>
    <xf numFmtId="1" fontId="20" fillId="0" borderId="4" xfId="1" applyNumberFormat="1" applyFont="1" applyBorder="1" applyAlignment="1">
      <alignment horizontal="left"/>
    </xf>
    <xf numFmtId="1" fontId="19" fillId="0" borderId="13" xfId="0" applyNumberFormat="1" applyFont="1" applyBorder="1" applyAlignment="1">
      <alignment horizontal="left"/>
    </xf>
    <xf numFmtId="1" fontId="19" fillId="0" borderId="12" xfId="0" applyNumberFormat="1" applyFont="1" applyBorder="1" applyAlignment="1">
      <alignment horizontal="left"/>
    </xf>
    <xf numFmtId="1" fontId="19" fillId="0" borderId="54" xfId="0" applyNumberFormat="1" applyFont="1" applyBorder="1" applyAlignment="1">
      <alignment horizontal="left"/>
    </xf>
    <xf numFmtId="2" fontId="14" fillId="0" borderId="24" xfId="0" applyNumberFormat="1" applyFont="1" applyBorder="1" applyAlignment="1">
      <alignment horizontal="left"/>
    </xf>
    <xf numFmtId="2" fontId="15" fillId="0" borderId="44" xfId="0" applyNumberFormat="1" applyFont="1" applyBorder="1" applyAlignment="1">
      <alignment horizontal="left"/>
    </xf>
    <xf numFmtId="2" fontId="14" fillId="0" borderId="7" xfId="2" applyNumberFormat="1" applyFon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2" fontId="20" fillId="0" borderId="7" xfId="0" applyNumberFormat="1" applyFont="1" applyBorder="1" applyAlignment="1">
      <alignment horizontal="left" wrapText="1"/>
    </xf>
    <xf numFmtId="2" fontId="20" fillId="0" borderId="1" xfId="0" applyNumberFormat="1" applyFont="1" applyBorder="1" applyAlignment="1">
      <alignment horizontal="left" wrapText="1"/>
    </xf>
    <xf numFmtId="2" fontId="20" fillId="0" borderId="20" xfId="0" applyNumberFormat="1" applyFont="1" applyBorder="1" applyAlignment="1">
      <alignment horizontal="left" wrapText="1"/>
    </xf>
    <xf numFmtId="2" fontId="20" fillId="0" borderId="42" xfId="0" applyNumberFormat="1" applyFont="1" applyBorder="1" applyAlignment="1">
      <alignment horizontal="left" wrapText="1"/>
    </xf>
    <xf numFmtId="1" fontId="14" fillId="0" borderId="20" xfId="0" applyNumberFormat="1" applyFont="1" applyBorder="1" applyAlignment="1">
      <alignment horizontal="left" vertical="center"/>
    </xf>
    <xf numFmtId="1" fontId="14" fillId="0" borderId="21" xfId="0" applyNumberFormat="1" applyFont="1" applyBorder="1" applyAlignment="1">
      <alignment horizontal="left" vertical="center"/>
    </xf>
    <xf numFmtId="1" fontId="14" fillId="0" borderId="23" xfId="0" applyNumberFormat="1" applyFont="1" applyBorder="1" applyAlignment="1">
      <alignment horizontal="left"/>
    </xf>
    <xf numFmtId="1" fontId="14" fillId="0" borderId="21" xfId="0" applyNumberFormat="1" applyFont="1" applyBorder="1" applyAlignment="1">
      <alignment horizontal="left"/>
    </xf>
    <xf numFmtId="1" fontId="14" fillId="0" borderId="22" xfId="0" applyNumberFormat="1" applyFont="1" applyBorder="1" applyAlignment="1">
      <alignment horizontal="left"/>
    </xf>
    <xf numFmtId="1" fontId="14" fillId="0" borderId="20" xfId="0" applyNumberFormat="1" applyFont="1" applyBorder="1" applyAlignment="1">
      <alignment horizontal="left"/>
    </xf>
    <xf numFmtId="2" fontId="14" fillId="0" borderId="20" xfId="0" applyNumberFormat="1" applyFont="1" applyBorder="1" applyAlignment="1">
      <alignment horizontal="left" wrapText="1"/>
    </xf>
    <xf numFmtId="1" fontId="14" fillId="0" borderId="23" xfId="0" applyNumberFormat="1" applyFont="1" applyFill="1" applyBorder="1" applyAlignment="1">
      <alignment horizontal="left"/>
    </xf>
    <xf numFmtId="1" fontId="14" fillId="0" borderId="20" xfId="1" applyNumberFormat="1" applyFont="1" applyBorder="1" applyAlignment="1">
      <alignment horizontal="left"/>
    </xf>
    <xf numFmtId="1" fontId="15" fillId="0" borderId="18" xfId="0" applyNumberFormat="1" applyFont="1" applyBorder="1" applyAlignment="1">
      <alignment horizontal="left"/>
    </xf>
    <xf numFmtId="1" fontId="26" fillId="0" borderId="62" xfId="0" applyNumberFormat="1" applyFont="1" applyBorder="1" applyAlignment="1">
      <alignment horizontal="left" vertical="center"/>
    </xf>
    <xf numFmtId="1" fontId="26" fillId="0" borderId="64" xfId="0" applyNumberFormat="1" applyFont="1" applyBorder="1" applyAlignment="1">
      <alignment horizontal="left" vertical="center"/>
    </xf>
    <xf numFmtId="1" fontId="26" fillId="0" borderId="65" xfId="0" applyNumberFormat="1" applyFont="1" applyBorder="1" applyAlignment="1">
      <alignment horizontal="left" vertical="center"/>
    </xf>
    <xf numFmtId="1" fontId="26" fillId="0" borderId="66" xfId="0" applyNumberFormat="1" applyFont="1" applyBorder="1" applyAlignment="1">
      <alignment horizontal="left" vertical="center"/>
    </xf>
    <xf numFmtId="1" fontId="26" fillId="0" borderId="60" xfId="0" applyNumberFormat="1" applyFont="1" applyBorder="1" applyAlignment="1">
      <alignment horizontal="left" vertical="center"/>
    </xf>
    <xf numFmtId="1" fontId="26" fillId="0" borderId="59" xfId="0" applyNumberFormat="1" applyFont="1" applyBorder="1" applyAlignment="1">
      <alignment horizontal="left" vertical="center"/>
    </xf>
    <xf numFmtId="1" fontId="26" fillId="0" borderId="62" xfId="0" applyNumberFormat="1" applyFont="1" applyBorder="1" applyAlignment="1">
      <alignment horizontal="left"/>
    </xf>
    <xf numFmtId="1" fontId="26" fillId="0" borderId="65" xfId="0" applyNumberFormat="1" applyFont="1" applyBorder="1" applyAlignment="1">
      <alignment horizontal="left"/>
    </xf>
    <xf numFmtId="1" fontId="27" fillId="0" borderId="62" xfId="1" applyNumberFormat="1" applyFont="1" applyBorder="1" applyAlignment="1">
      <alignment horizontal="left"/>
    </xf>
    <xf numFmtId="1" fontId="27" fillId="0" borderId="60" xfId="1" applyNumberFormat="1" applyFont="1" applyBorder="1" applyAlignment="1">
      <alignment horizontal="left"/>
    </xf>
    <xf numFmtId="1" fontId="26" fillId="0" borderId="63" xfId="0" applyNumberFormat="1" applyFont="1" applyBorder="1" applyAlignment="1">
      <alignment horizontal="left"/>
    </xf>
    <xf numFmtId="1" fontId="15" fillId="0" borderId="20" xfId="0" applyNumberFormat="1" applyFont="1" applyBorder="1" applyAlignment="1">
      <alignment horizontal="left" vertical="center"/>
    </xf>
    <xf numFmtId="1" fontId="15" fillId="0" borderId="25" xfId="0" applyNumberFormat="1" applyFont="1" applyBorder="1" applyAlignment="1">
      <alignment horizontal="left" vertical="center"/>
    </xf>
    <xf numFmtId="1" fontId="15" fillId="0" borderId="23" xfId="0" applyNumberFormat="1" applyFont="1" applyBorder="1" applyAlignment="1">
      <alignment horizontal="left"/>
    </xf>
    <xf numFmtId="1" fontId="1" fillId="0" borderId="21" xfId="0" applyNumberFormat="1" applyFont="1" applyBorder="1" applyAlignment="1">
      <alignment horizontal="left"/>
    </xf>
    <xf numFmtId="1" fontId="1" fillId="0" borderId="22" xfId="0" applyNumberFormat="1" applyFont="1" applyBorder="1" applyAlignment="1">
      <alignment horizontal="left"/>
    </xf>
    <xf numFmtId="1" fontId="14" fillId="0" borderId="20" xfId="0" applyNumberFormat="1" applyFont="1" applyFill="1" applyBorder="1" applyAlignment="1">
      <alignment horizontal="left" vertical="top" wrapText="1"/>
    </xf>
    <xf numFmtId="1" fontId="4" fillId="0" borderId="24" xfId="0" applyNumberFormat="1" applyFont="1" applyFill="1" applyBorder="1" applyAlignment="1">
      <alignment horizontal="left"/>
    </xf>
    <xf numFmtId="1" fontId="15" fillId="0" borderId="23" xfId="0" applyNumberFormat="1" applyFont="1" applyBorder="1" applyAlignment="1">
      <alignment horizontal="left" vertical="center"/>
    </xf>
    <xf numFmtId="1" fontId="15" fillId="0" borderId="20" xfId="0" applyNumberFormat="1" applyFont="1" applyBorder="1" applyAlignment="1">
      <alignment horizontal="left"/>
    </xf>
    <xf numFmtId="1" fontId="20" fillId="0" borderId="1" xfId="0" applyNumberFormat="1" applyFont="1" applyBorder="1" applyAlignment="1">
      <alignment horizontal="left" wrapText="1"/>
    </xf>
    <xf numFmtId="0" fontId="24" fillId="0" borderId="1" xfId="0" applyFont="1" applyBorder="1" applyAlignment="1">
      <alignment horizontal="left"/>
    </xf>
    <xf numFmtId="1" fontId="19" fillId="0" borderId="57" xfId="0" applyNumberFormat="1" applyFont="1" applyBorder="1" applyAlignment="1">
      <alignment horizontal="left"/>
    </xf>
    <xf numFmtId="1" fontId="20" fillId="0" borderId="16" xfId="0" applyNumberFormat="1" applyFont="1" applyBorder="1" applyAlignment="1">
      <alignment horizontal="left" vertical="center"/>
    </xf>
    <xf numFmtId="0" fontId="21" fillId="0" borderId="69" xfId="0" applyFont="1" applyBorder="1" applyAlignment="1">
      <alignment horizontal="center" vertical="center"/>
    </xf>
    <xf numFmtId="0" fontId="17" fillId="0" borderId="35" xfId="0" applyFont="1" applyBorder="1" applyAlignment="1">
      <alignment horizontal="left"/>
    </xf>
    <xf numFmtId="0" fontId="19" fillId="0" borderId="35" xfId="0" applyFont="1" applyBorder="1"/>
    <xf numFmtId="2" fontId="20" fillId="0" borderId="31" xfId="0" applyNumberFormat="1" applyFont="1" applyBorder="1" applyAlignment="1">
      <alignment vertical="center"/>
    </xf>
    <xf numFmtId="2" fontId="20" fillId="0" borderId="25" xfId="0" applyNumberFormat="1" applyFont="1" applyBorder="1" applyAlignment="1">
      <alignment horizontal="right"/>
    </xf>
    <xf numFmtId="2" fontId="20" fillId="0" borderId="31" xfId="0" applyNumberFormat="1" applyFont="1" applyBorder="1" applyAlignment="1">
      <alignment horizontal="right"/>
    </xf>
    <xf numFmtId="2" fontId="14" fillId="0" borderId="25" xfId="0" applyNumberFormat="1" applyFont="1" applyBorder="1" applyAlignment="1">
      <alignment horizontal="right"/>
    </xf>
    <xf numFmtId="2" fontId="24" fillId="0" borderId="25" xfId="0" applyNumberFormat="1" applyFont="1" applyBorder="1" applyAlignment="1">
      <alignment horizontal="left"/>
    </xf>
    <xf numFmtId="2" fontId="20" fillId="0" borderId="25" xfId="1" applyNumberFormat="1" applyFont="1" applyBorder="1" applyAlignment="1">
      <alignment horizontal="right"/>
    </xf>
    <xf numFmtId="2" fontId="20" fillId="0" borderId="25" xfId="0" applyNumberFormat="1" applyFont="1" applyBorder="1" applyAlignment="1">
      <alignment horizontal="right" wrapText="1"/>
    </xf>
    <xf numFmtId="3" fontId="17" fillId="0" borderId="25" xfId="0" applyNumberFormat="1" applyFont="1" applyBorder="1" applyAlignment="1">
      <alignment horizontal="right"/>
    </xf>
    <xf numFmtId="2" fontId="20" fillId="0" borderId="25" xfId="0" applyNumberFormat="1" applyFont="1" applyFill="1" applyBorder="1" applyAlignment="1">
      <alignment horizontal="right"/>
    </xf>
    <xf numFmtId="0" fontId="39" fillId="0" borderId="64" xfId="0" applyFont="1" applyBorder="1" applyAlignment="1">
      <alignment horizontal="center" vertical="center"/>
    </xf>
    <xf numFmtId="1" fontId="21" fillId="0" borderId="7" xfId="0" applyNumberFormat="1" applyFont="1" applyBorder="1" applyAlignment="1">
      <alignment horizontal="left" vertical="center"/>
    </xf>
    <xf numFmtId="1" fontId="21" fillId="0" borderId="9" xfId="0" applyNumberFormat="1" applyFont="1" applyBorder="1" applyAlignment="1">
      <alignment horizontal="left" vertical="center"/>
    </xf>
    <xf numFmtId="1" fontId="21" fillId="0" borderId="8" xfId="0" applyNumberFormat="1" applyFont="1" applyBorder="1" applyAlignment="1">
      <alignment horizontal="left" vertical="center"/>
    </xf>
    <xf numFmtId="1" fontId="21" fillId="0" borderId="32" xfId="0" applyNumberFormat="1" applyFont="1" applyBorder="1" applyAlignment="1">
      <alignment horizontal="left" vertical="center"/>
    </xf>
    <xf numFmtId="1" fontId="40" fillId="0" borderId="8" xfId="0" applyNumberFormat="1" applyFont="1" applyBorder="1" applyAlignment="1">
      <alignment horizontal="left"/>
    </xf>
    <xf numFmtId="1" fontId="40" fillId="0" borderId="9" xfId="0" applyNumberFormat="1" applyFont="1" applyBorder="1" applyAlignment="1">
      <alignment horizontal="left"/>
    </xf>
    <xf numFmtId="1" fontId="40" fillId="0" borderId="4" xfId="0" applyNumberFormat="1" applyFont="1" applyBorder="1" applyAlignment="1">
      <alignment horizontal="left"/>
    </xf>
    <xf numFmtId="1" fontId="40" fillId="0" borderId="23" xfId="0" applyNumberFormat="1" applyFont="1" applyBorder="1" applyAlignment="1">
      <alignment horizontal="left"/>
    </xf>
    <xf numFmtId="1" fontId="5" fillId="0" borderId="3" xfId="0" applyNumberFormat="1" applyFont="1" applyBorder="1" applyAlignment="1">
      <alignment horizontal="left"/>
    </xf>
    <xf numFmtId="1" fontId="5" fillId="0" borderId="23" xfId="0" applyNumberFormat="1" applyFont="1" applyBorder="1" applyAlignment="1">
      <alignment horizontal="left"/>
    </xf>
    <xf numFmtId="1" fontId="25" fillId="0" borderId="70" xfId="0" applyNumberFormat="1" applyFont="1" applyBorder="1" applyAlignment="1">
      <alignment horizontal="left"/>
    </xf>
    <xf numFmtId="1" fontId="23" fillId="0" borderId="5" xfId="0" applyNumberFormat="1" applyFont="1" applyBorder="1" applyAlignment="1">
      <alignment horizontal="left"/>
    </xf>
    <xf numFmtId="1" fontId="23" fillId="0" borderId="4" xfId="0" applyNumberFormat="1" applyFont="1" applyBorder="1" applyAlignment="1">
      <alignment horizontal="left"/>
    </xf>
    <xf numFmtId="1" fontId="23" fillId="0" borderId="2" xfId="0" applyNumberFormat="1" applyFont="1" applyBorder="1" applyAlignment="1">
      <alignment horizontal="left"/>
    </xf>
    <xf numFmtId="1" fontId="15" fillId="0" borderId="0" xfId="0" applyNumberFormat="1" applyFont="1" applyAlignment="1">
      <alignment horizontal="left"/>
    </xf>
    <xf numFmtId="1" fontId="15" fillId="0" borderId="4" xfId="0" applyNumberFormat="1" applyFont="1" applyBorder="1" applyAlignment="1">
      <alignment horizontal="left" wrapText="1"/>
    </xf>
    <xf numFmtId="1" fontId="15" fillId="0" borderId="4" xfId="0" applyNumberFormat="1" applyFont="1" applyFill="1" applyBorder="1" applyAlignment="1">
      <alignment horizontal="left"/>
    </xf>
    <xf numFmtId="1" fontId="15" fillId="0" borderId="2" xfId="0" applyNumberFormat="1" applyFont="1" applyFill="1" applyBorder="1" applyAlignment="1">
      <alignment horizontal="left"/>
    </xf>
    <xf numFmtId="1" fontId="15" fillId="0" borderId="3" xfId="0" applyNumberFormat="1" applyFont="1" applyFill="1" applyBorder="1" applyAlignment="1">
      <alignment horizontal="left"/>
    </xf>
    <xf numFmtId="1" fontId="4" fillId="0" borderId="4" xfId="0" applyNumberFormat="1" applyFont="1" applyBorder="1" applyAlignment="1">
      <alignment horizontal="left"/>
    </xf>
    <xf numFmtId="1" fontId="15" fillId="0" borderId="33" xfId="0" applyNumberFormat="1" applyFont="1" applyBorder="1" applyAlignment="1">
      <alignment horizontal="left" vertical="center"/>
    </xf>
    <xf numFmtId="1" fontId="23" fillId="0" borderId="8" xfId="0" applyNumberFormat="1" applyFont="1" applyBorder="1" applyAlignment="1">
      <alignment horizontal="left"/>
    </xf>
    <xf numFmtId="1" fontId="15" fillId="0" borderId="10" xfId="0" applyNumberFormat="1" applyFont="1" applyBorder="1" applyAlignment="1">
      <alignment horizontal="left" vertical="center"/>
    </xf>
    <xf numFmtId="0" fontId="26" fillId="0" borderId="59" xfId="0" applyFont="1" applyBorder="1" applyAlignment="1">
      <alignment horizontal="left"/>
    </xf>
    <xf numFmtId="1" fontId="14" fillId="0" borderId="10" xfId="0" applyNumberFormat="1" applyFont="1" applyBorder="1" applyAlignment="1">
      <alignment horizontal="left"/>
    </xf>
    <xf numFmtId="0" fontId="4" fillId="0" borderId="6" xfId="0" applyFont="1" applyBorder="1" applyAlignment="1">
      <alignment horizontal="left"/>
    </xf>
    <xf numFmtId="1" fontId="1" fillId="0" borderId="52" xfId="0" applyNumberFormat="1" applyFont="1" applyBorder="1" applyAlignment="1">
      <alignment horizontal="left" vertical="center"/>
    </xf>
    <xf numFmtId="1" fontId="1" fillId="0" borderId="51" xfId="0" applyNumberFormat="1" applyFont="1" applyBorder="1" applyAlignment="1">
      <alignment horizontal="left" vertical="center"/>
    </xf>
    <xf numFmtId="1" fontId="4" fillId="0" borderId="39" xfId="0" applyNumberFormat="1" applyFont="1" applyBorder="1" applyAlignment="1">
      <alignment horizontal="left"/>
    </xf>
    <xf numFmtId="1" fontId="4" fillId="0" borderId="51" xfId="0" applyNumberFormat="1" applyFont="1" applyBorder="1" applyAlignment="1">
      <alignment horizontal="left"/>
    </xf>
    <xf numFmtId="1" fontId="4" fillId="0" borderId="67" xfId="0" applyNumberFormat="1" applyFont="1" applyBorder="1" applyAlignment="1">
      <alignment horizontal="left"/>
    </xf>
    <xf numFmtId="1" fontId="4" fillId="0" borderId="52" xfId="0" applyNumberFormat="1" applyFont="1" applyBorder="1" applyAlignment="1">
      <alignment horizontal="left"/>
    </xf>
    <xf numFmtId="1" fontId="1" fillId="0" borderId="39" xfId="0" applyNumberFormat="1" applyFont="1" applyBorder="1" applyAlignment="1">
      <alignment horizontal="left"/>
    </xf>
    <xf numFmtId="1" fontId="1" fillId="0" borderId="51" xfId="0" applyNumberFormat="1" applyFont="1" applyBorder="1" applyAlignment="1">
      <alignment horizontal="left"/>
    </xf>
    <xf numFmtId="1" fontId="1" fillId="0" borderId="67" xfId="0" applyNumberFormat="1" applyFont="1" applyBorder="1" applyAlignment="1">
      <alignment horizontal="left"/>
    </xf>
    <xf numFmtId="1" fontId="1" fillId="0" borderId="52" xfId="0" applyNumberFormat="1" applyFont="1" applyBorder="1" applyAlignment="1">
      <alignment horizontal="left"/>
    </xf>
    <xf numFmtId="2" fontId="4" fillId="0" borderId="52" xfId="0" applyNumberFormat="1" applyFont="1" applyBorder="1" applyAlignment="1">
      <alignment horizontal="left" wrapText="1"/>
    </xf>
    <xf numFmtId="0" fontId="4" fillId="0" borderId="67" xfId="0" applyFont="1" applyBorder="1" applyAlignment="1">
      <alignment horizontal="left"/>
    </xf>
    <xf numFmtId="1" fontId="4" fillId="0" borderId="39" xfId="0" applyNumberFormat="1" applyFont="1" applyFill="1" applyBorder="1" applyAlignment="1">
      <alignment horizontal="left"/>
    </xf>
    <xf numFmtId="1" fontId="4" fillId="0" borderId="67" xfId="1" applyNumberFormat="1" applyFont="1" applyBorder="1" applyAlignment="1">
      <alignment horizontal="left"/>
    </xf>
    <xf numFmtId="1" fontId="4" fillId="0" borderId="52" xfId="1" applyNumberFormat="1" applyFont="1" applyBorder="1" applyAlignment="1">
      <alignment horizontal="left"/>
    </xf>
    <xf numFmtId="1" fontId="1" fillId="0" borderId="18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1" fontId="26" fillId="0" borderId="71" xfId="0" applyNumberFormat="1" applyFont="1" applyBorder="1" applyAlignment="1">
      <alignment horizontal="left" vertical="center"/>
    </xf>
    <xf numFmtId="1" fontId="26" fillId="0" borderId="63" xfId="0" applyNumberFormat="1" applyFont="1" applyBorder="1" applyAlignment="1">
      <alignment horizontal="left" vertical="center"/>
    </xf>
    <xf numFmtId="1" fontId="15" fillId="0" borderId="21" xfId="0" applyNumberFormat="1" applyFont="1" applyBorder="1" applyAlignment="1">
      <alignment horizontal="left"/>
    </xf>
    <xf numFmtId="1" fontId="15" fillId="0" borderId="22" xfId="0" applyNumberFormat="1" applyFont="1" applyBorder="1" applyAlignment="1">
      <alignment horizontal="left"/>
    </xf>
    <xf numFmtId="1" fontId="15" fillId="0" borderId="23" xfId="0" applyNumberFormat="1" applyFont="1" applyBorder="1" applyAlignment="1">
      <alignment horizontal="left" wrapText="1"/>
    </xf>
    <xf numFmtId="1" fontId="23" fillId="0" borderId="23" xfId="0" applyNumberFormat="1" applyFont="1" applyBorder="1" applyAlignment="1">
      <alignment horizontal="left"/>
    </xf>
    <xf numFmtId="1" fontId="23" fillId="0" borderId="21" xfId="0" applyNumberFormat="1" applyFont="1" applyBorder="1" applyAlignment="1">
      <alignment horizontal="left"/>
    </xf>
    <xf numFmtId="1" fontId="15" fillId="0" borderId="23" xfId="0" applyNumberFormat="1" applyFont="1" applyFill="1" applyBorder="1" applyAlignment="1">
      <alignment horizontal="left"/>
    </xf>
    <xf numFmtId="1" fontId="15" fillId="0" borderId="21" xfId="0" applyNumberFormat="1" applyFont="1" applyFill="1" applyBorder="1" applyAlignment="1">
      <alignment horizontal="left"/>
    </xf>
    <xf numFmtId="1" fontId="15" fillId="0" borderId="23" xfId="1" applyNumberFormat="1" applyFont="1" applyBorder="1" applyAlignment="1">
      <alignment horizontal="left"/>
    </xf>
    <xf numFmtId="1" fontId="15" fillId="0" borderId="21" xfId="1" applyNumberFormat="1" applyFont="1" applyBorder="1" applyAlignment="1">
      <alignment horizontal="left"/>
    </xf>
    <xf numFmtId="1" fontId="15" fillId="0" borderId="52" xfId="0" applyNumberFormat="1" applyFont="1" applyBorder="1" applyAlignment="1">
      <alignment horizontal="left" vertical="center"/>
    </xf>
    <xf numFmtId="1" fontId="14" fillId="0" borderId="39" xfId="0" applyNumberFormat="1" applyFont="1" applyBorder="1" applyAlignment="1">
      <alignment horizontal="left"/>
    </xf>
    <xf numFmtId="1" fontId="14" fillId="0" borderId="51" xfId="0" applyNumberFormat="1" applyFont="1" applyBorder="1" applyAlignment="1">
      <alignment horizontal="left"/>
    </xf>
    <xf numFmtId="1" fontId="14" fillId="0" borderId="67" xfId="0" applyNumberFormat="1" applyFont="1" applyBorder="1" applyAlignment="1">
      <alignment horizontal="left"/>
    </xf>
    <xf numFmtId="2" fontId="14" fillId="0" borderId="51" xfId="0" applyNumberFormat="1" applyFont="1" applyBorder="1" applyAlignment="1">
      <alignment horizontal="left"/>
    </xf>
    <xf numFmtId="1" fontId="14" fillId="0" borderId="72" xfId="0" applyNumberFormat="1" applyFont="1" applyBorder="1" applyAlignment="1">
      <alignment horizontal="left"/>
    </xf>
    <xf numFmtId="0" fontId="14" fillId="0" borderId="52" xfId="0" applyFont="1" applyBorder="1" applyAlignment="1">
      <alignment horizontal="left"/>
    </xf>
    <xf numFmtId="2" fontId="14" fillId="0" borderId="39" xfId="0" applyNumberFormat="1" applyFont="1" applyBorder="1" applyAlignment="1">
      <alignment horizontal="left" wrapText="1"/>
    </xf>
    <xf numFmtId="0" fontId="18" fillId="0" borderId="39" xfId="0" applyFont="1" applyBorder="1" applyAlignment="1">
      <alignment horizontal="left"/>
    </xf>
    <xf numFmtId="0" fontId="18" fillId="0" borderId="51" xfId="0" applyFont="1" applyBorder="1" applyAlignment="1">
      <alignment horizontal="left"/>
    </xf>
    <xf numFmtId="1" fontId="14" fillId="0" borderId="39" xfId="0" applyNumberFormat="1" applyFont="1" applyFill="1" applyBorder="1" applyAlignment="1">
      <alignment horizontal="left"/>
    </xf>
    <xf numFmtId="1" fontId="14" fillId="0" borderId="51" xfId="0" applyNumberFormat="1" applyFont="1" applyFill="1" applyBorder="1" applyAlignment="1">
      <alignment horizontal="left"/>
    </xf>
    <xf numFmtId="1" fontId="14" fillId="0" borderId="39" xfId="1" applyNumberFormat="1" applyFont="1" applyBorder="1" applyAlignment="1">
      <alignment horizontal="left"/>
    </xf>
    <xf numFmtId="1" fontId="14" fillId="0" borderId="51" xfId="1" applyNumberFormat="1" applyFont="1" applyBorder="1" applyAlignment="1">
      <alignment horizontal="left"/>
    </xf>
    <xf numFmtId="1" fontId="15" fillId="0" borderId="39" xfId="0" applyNumberFormat="1" applyFont="1" applyBorder="1" applyAlignment="1">
      <alignment horizontal="left" vertical="center"/>
    </xf>
    <xf numFmtId="1" fontId="15" fillId="0" borderId="18" xfId="0" applyNumberFormat="1" applyFont="1" applyBorder="1" applyAlignment="1">
      <alignment horizontal="left" vertical="center"/>
    </xf>
    <xf numFmtId="0" fontId="19" fillId="0" borderId="17" xfId="0" applyFont="1" applyBorder="1" applyAlignment="1">
      <alignment horizontal="left"/>
    </xf>
    <xf numFmtId="0" fontId="19" fillId="0" borderId="16" xfId="0" applyFont="1" applyBorder="1" applyAlignment="1">
      <alignment horizontal="left"/>
    </xf>
    <xf numFmtId="0" fontId="19" fillId="0" borderId="41" xfId="0" applyFont="1" applyBorder="1" applyAlignment="1">
      <alignment horizontal="left"/>
    </xf>
    <xf numFmtId="0" fontId="19" fillId="0" borderId="73" xfId="0" applyFont="1" applyBorder="1" applyAlignment="1">
      <alignment horizontal="left"/>
    </xf>
    <xf numFmtId="0" fontId="19" fillId="0" borderId="74" xfId="0" applyFont="1" applyBorder="1" applyAlignment="1">
      <alignment horizontal="left"/>
    </xf>
    <xf numFmtId="0" fontId="19" fillId="0" borderId="19" xfId="0" applyFont="1" applyBorder="1" applyAlignment="1">
      <alignment horizontal="left"/>
    </xf>
    <xf numFmtId="0" fontId="20" fillId="0" borderId="17" xfId="0" applyFont="1" applyBorder="1" applyAlignment="1">
      <alignment horizontal="left"/>
    </xf>
    <xf numFmtId="0" fontId="41" fillId="0" borderId="1" xfId="0" applyFont="1" applyBorder="1" applyAlignment="1">
      <alignment horizontal="left"/>
    </xf>
    <xf numFmtId="3" fontId="24" fillId="0" borderId="1" xfId="0" applyNumberFormat="1" applyFont="1" applyBorder="1" applyAlignment="1">
      <alignment horizontal="left"/>
    </xf>
    <xf numFmtId="3" fontId="24" fillId="0" borderId="3" xfId="0" applyNumberFormat="1" applyFont="1" applyBorder="1" applyAlignment="1">
      <alignment horizontal="left"/>
    </xf>
    <xf numFmtId="0" fontId="15" fillId="0" borderId="36" xfId="0" applyFont="1" applyBorder="1" applyAlignment="1">
      <alignment horizontal="left"/>
    </xf>
    <xf numFmtId="0" fontId="19" fillId="0" borderId="10" xfId="0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19" fillId="0" borderId="3" xfId="0" applyFont="1" applyBorder="1" applyAlignment="1">
      <alignment horizontal="left"/>
    </xf>
    <xf numFmtId="0" fontId="19" fillId="0" borderId="7" xfId="0" applyFont="1" applyBorder="1" applyAlignment="1">
      <alignment horizontal="left"/>
    </xf>
    <xf numFmtId="0" fontId="19" fillId="0" borderId="9" xfId="0" applyFont="1" applyBorder="1" applyAlignment="1">
      <alignment horizontal="left"/>
    </xf>
    <xf numFmtId="0" fontId="18" fillId="0" borderId="70" xfId="0" applyFont="1" applyBorder="1" applyAlignment="1">
      <alignment horizontal="left"/>
    </xf>
    <xf numFmtId="0" fontId="33" fillId="0" borderId="75" xfId="0" applyFont="1" applyBorder="1" applyAlignment="1">
      <alignment horizontal="left"/>
    </xf>
    <xf numFmtId="1" fontId="37" fillId="0" borderId="47" xfId="0" applyNumberFormat="1" applyFont="1" applyBorder="1" applyAlignment="1">
      <alignment horizontal="center" vertical="justify" wrapText="1"/>
    </xf>
    <xf numFmtId="0" fontId="19" fillId="0" borderId="36" xfId="0" applyFont="1" applyBorder="1" applyAlignment="1">
      <alignment horizontal="left"/>
    </xf>
    <xf numFmtId="0" fontId="19" fillId="0" borderId="38" xfId="0" applyFont="1" applyBorder="1" applyAlignment="1">
      <alignment horizontal="left"/>
    </xf>
    <xf numFmtId="0" fontId="21" fillId="0" borderId="10" xfId="0" applyFont="1" applyBorder="1" applyAlignment="1">
      <alignment vertical="center"/>
    </xf>
    <xf numFmtId="2" fontId="20" fillId="0" borderId="17" xfId="0" applyNumberFormat="1" applyFont="1" applyBorder="1" applyAlignment="1">
      <alignment vertical="center"/>
    </xf>
    <xf numFmtId="2" fontId="21" fillId="0" borderId="17" xfId="0" applyNumberFormat="1" applyFont="1" applyBorder="1" applyAlignment="1">
      <alignment vertical="center"/>
    </xf>
    <xf numFmtId="2" fontId="20" fillId="0" borderId="25" xfId="0" applyNumberFormat="1" applyFont="1" applyBorder="1" applyAlignment="1">
      <alignment vertical="center"/>
    </xf>
    <xf numFmtId="2" fontId="20" fillId="0" borderId="18" xfId="0" applyNumberFormat="1" applyFont="1" applyBorder="1" applyAlignment="1">
      <alignment horizontal="right"/>
    </xf>
    <xf numFmtId="0" fontId="15" fillId="0" borderId="0" xfId="0" applyFont="1" applyFill="1" applyBorder="1" applyAlignment="1">
      <alignment horizontal="left"/>
    </xf>
    <xf numFmtId="0" fontId="42" fillId="0" borderId="0" xfId="0" applyFont="1" applyBorder="1" applyAlignment="1">
      <alignment horizontal="left"/>
    </xf>
    <xf numFmtId="0" fontId="39" fillId="0" borderId="47" xfId="0" applyFont="1" applyBorder="1" applyAlignment="1">
      <alignment horizontal="left"/>
    </xf>
    <xf numFmtId="1" fontId="14" fillId="0" borderId="6" xfId="0" applyNumberFormat="1" applyFont="1" applyBorder="1" applyAlignment="1">
      <alignment horizontal="left" wrapText="1"/>
    </xf>
    <xf numFmtId="1" fontId="14" fillId="0" borderId="25" xfId="0" applyNumberFormat="1" applyFont="1" applyBorder="1" applyAlignment="1">
      <alignment horizontal="left"/>
    </xf>
    <xf numFmtId="1" fontId="14" fillId="0" borderId="76" xfId="1" applyNumberFormat="1" applyFont="1" applyBorder="1" applyAlignment="1">
      <alignment horizontal="left"/>
    </xf>
    <xf numFmtId="1" fontId="14" fillId="0" borderId="19" xfId="1" applyNumberFormat="1" applyFont="1" applyBorder="1" applyAlignment="1">
      <alignment horizontal="left"/>
    </xf>
    <xf numFmtId="1" fontId="15" fillId="0" borderId="19" xfId="0" applyNumberFormat="1" applyFont="1" applyBorder="1" applyAlignment="1">
      <alignment horizontal="left"/>
    </xf>
    <xf numFmtId="1" fontId="14" fillId="0" borderId="19" xfId="0" applyNumberFormat="1" applyFont="1" applyBorder="1" applyAlignment="1">
      <alignment horizontal="left"/>
    </xf>
    <xf numFmtId="1" fontId="14" fillId="0" borderId="77" xfId="1" applyNumberFormat="1" applyFont="1" applyBorder="1" applyAlignment="1">
      <alignment horizontal="left"/>
    </xf>
    <xf numFmtId="2" fontId="33" fillId="0" borderId="61" xfId="0" applyNumberFormat="1" applyFont="1" applyBorder="1" applyAlignment="1">
      <alignment horizontal="left"/>
    </xf>
    <xf numFmtId="1" fontId="15" fillId="0" borderId="36" xfId="0" applyNumberFormat="1" applyFont="1" applyBorder="1" applyAlignment="1">
      <alignment horizontal="left"/>
    </xf>
    <xf numFmtId="2" fontId="33" fillId="0" borderId="13" xfId="0" applyNumberFormat="1" applyFont="1" applyBorder="1" applyAlignment="1">
      <alignment horizontal="left"/>
    </xf>
    <xf numFmtId="3" fontId="17" fillId="0" borderId="1" xfId="0" applyNumberFormat="1" applyFont="1" applyBorder="1" applyAlignment="1">
      <alignment horizontal="left"/>
    </xf>
    <xf numFmtId="165" fontId="17" fillId="0" borderId="1" xfId="0" applyNumberFormat="1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1" fontId="15" fillId="0" borderId="41" xfId="0" applyNumberFormat="1" applyFont="1" applyBorder="1" applyAlignment="1">
      <alignment horizontal="left"/>
    </xf>
    <xf numFmtId="2" fontId="20" fillId="0" borderId="16" xfId="1" applyNumberFormat="1" applyFont="1" applyBorder="1" applyAlignment="1">
      <alignment horizontal="right"/>
    </xf>
    <xf numFmtId="1" fontId="18" fillId="0" borderId="34" xfId="0" applyNumberFormat="1" applyFont="1" applyFill="1" applyBorder="1" applyAlignment="1">
      <alignment horizontal="left" vertical="top" wrapText="1"/>
    </xf>
    <xf numFmtId="1" fontId="1" fillId="0" borderId="34" xfId="0" applyNumberFormat="1" applyFont="1" applyFill="1" applyBorder="1" applyAlignment="1">
      <alignment horizontal="left" vertical="top" wrapText="1"/>
    </xf>
    <xf numFmtId="1" fontId="4" fillId="0" borderId="34" xfId="0" applyNumberFormat="1" applyFont="1" applyFill="1" applyBorder="1" applyAlignment="1">
      <alignment horizontal="left" vertical="top" wrapText="1"/>
    </xf>
    <xf numFmtId="1" fontId="18" fillId="0" borderId="35" xfId="0" applyNumberFormat="1" applyFont="1" applyFill="1" applyBorder="1" applyAlignment="1">
      <alignment horizontal="left" vertical="top" wrapText="1"/>
    </xf>
    <xf numFmtId="2" fontId="14" fillId="0" borderId="6" xfId="0" applyNumberFormat="1" applyFont="1" applyBorder="1" applyAlignment="1">
      <alignment horizontal="left"/>
    </xf>
    <xf numFmtId="1" fontId="24" fillId="0" borderId="0" xfId="0" applyNumberFormat="1" applyFont="1" applyFill="1" applyAlignment="1">
      <alignment horizontal="left"/>
    </xf>
    <xf numFmtId="2" fontId="33" fillId="0" borderId="12" xfId="0" applyNumberFormat="1" applyFont="1" applyFill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29" fillId="0" borderId="0" xfId="0" applyFont="1" applyBorder="1" applyAlignment="1">
      <alignment horizontal="left"/>
    </xf>
    <xf numFmtId="0" fontId="31" fillId="0" borderId="0" xfId="0" applyFont="1" applyBorder="1" applyAlignment="1">
      <alignment horizontal="left"/>
    </xf>
    <xf numFmtId="2" fontId="15" fillId="0" borderId="4" xfId="0" applyNumberFormat="1" applyFont="1" applyFill="1" applyBorder="1" applyAlignment="1">
      <alignment horizontal="left"/>
    </xf>
    <xf numFmtId="165" fontId="23" fillId="0" borderId="36" xfId="0" applyNumberFormat="1" applyFont="1" applyBorder="1" applyAlignment="1">
      <alignment horizontal="left"/>
    </xf>
    <xf numFmtId="165" fontId="23" fillId="0" borderId="38" xfId="0" applyNumberFormat="1" applyFont="1" applyBorder="1" applyAlignment="1">
      <alignment horizontal="left"/>
    </xf>
    <xf numFmtId="165" fontId="23" fillId="0" borderId="1" xfId="0" applyNumberFormat="1" applyFont="1" applyBorder="1" applyAlignment="1">
      <alignment horizontal="left"/>
    </xf>
    <xf numFmtId="165" fontId="23" fillId="0" borderId="3" xfId="0" applyNumberFormat="1" applyFont="1" applyBorder="1" applyAlignment="1">
      <alignment horizontal="left"/>
    </xf>
    <xf numFmtId="0" fontId="23" fillId="0" borderId="1" xfId="0" applyFont="1" applyBorder="1" applyAlignment="1">
      <alignment horizontal="left"/>
    </xf>
    <xf numFmtId="1" fontId="15" fillId="0" borderId="14" xfId="0" applyNumberFormat="1" applyFont="1" applyBorder="1" applyAlignment="1">
      <alignment horizontal="left"/>
    </xf>
    <xf numFmtId="1" fontId="14" fillId="0" borderId="52" xfId="0" applyNumberFormat="1" applyFont="1" applyBorder="1" applyAlignment="1">
      <alignment horizontal="left"/>
    </xf>
    <xf numFmtId="1" fontId="15" fillId="0" borderId="24" xfId="0" applyNumberFormat="1" applyFont="1" applyBorder="1" applyAlignment="1">
      <alignment horizontal="left"/>
    </xf>
    <xf numFmtId="2" fontId="14" fillId="0" borderId="52" xfId="0" applyNumberFormat="1" applyFont="1" applyBorder="1" applyAlignment="1">
      <alignment horizontal="left"/>
    </xf>
    <xf numFmtId="165" fontId="17" fillId="0" borderId="7" xfId="0" applyNumberFormat="1" applyFont="1" applyBorder="1" applyAlignment="1">
      <alignment horizontal="left"/>
    </xf>
    <xf numFmtId="165" fontId="17" fillId="0" borderId="20" xfId="0" applyNumberFormat="1" applyFont="1" applyBorder="1" applyAlignment="1">
      <alignment horizontal="left"/>
    </xf>
    <xf numFmtId="0" fontId="19" fillId="0" borderId="42" xfId="0" applyFont="1" applyBorder="1" applyAlignment="1">
      <alignment horizontal="left"/>
    </xf>
    <xf numFmtId="1" fontId="24" fillId="0" borderId="17" xfId="0" applyNumberFormat="1" applyFont="1" applyBorder="1" applyAlignment="1">
      <alignment horizontal="left"/>
    </xf>
    <xf numFmtId="1" fontId="24" fillId="0" borderId="3" xfId="0" applyNumberFormat="1" applyFont="1" applyFill="1" applyBorder="1" applyAlignment="1">
      <alignment horizontal="left"/>
    </xf>
    <xf numFmtId="1" fontId="24" fillId="0" borderId="22" xfId="0" applyNumberFormat="1" applyFont="1" applyFill="1" applyBorder="1" applyAlignment="1">
      <alignment horizontal="left"/>
    </xf>
    <xf numFmtId="1" fontId="20" fillId="0" borderId="31" xfId="0" applyNumberFormat="1" applyFont="1" applyBorder="1" applyAlignment="1">
      <alignment horizontal="left" vertical="center"/>
    </xf>
    <xf numFmtId="1" fontId="21" fillId="0" borderId="38" xfId="0" applyNumberFormat="1" applyFont="1" applyBorder="1" applyAlignment="1">
      <alignment horizontal="left" vertical="center"/>
    </xf>
    <xf numFmtId="1" fontId="22" fillId="0" borderId="70" xfId="0" applyNumberFormat="1" applyFont="1" applyBorder="1" applyAlignment="1">
      <alignment horizontal="left"/>
    </xf>
    <xf numFmtId="1" fontId="19" fillId="0" borderId="75" xfId="0" applyNumberFormat="1" applyFont="1" applyBorder="1" applyAlignment="1">
      <alignment horizontal="left"/>
    </xf>
    <xf numFmtId="1" fontId="20" fillId="0" borderId="78" xfId="0" applyNumberFormat="1" applyFont="1" applyBorder="1" applyAlignment="1">
      <alignment horizontal="left"/>
    </xf>
    <xf numFmtId="1" fontId="20" fillId="0" borderId="36" xfId="0" applyNumberFormat="1" applyFont="1" applyBorder="1" applyAlignment="1">
      <alignment horizontal="left" vertical="center"/>
    </xf>
    <xf numFmtId="1" fontId="20" fillId="0" borderId="38" xfId="0" applyNumberFormat="1" applyFont="1" applyBorder="1" applyAlignment="1">
      <alignment horizontal="left"/>
    </xf>
    <xf numFmtId="1" fontId="20" fillId="0" borderId="78" xfId="1" applyNumberFormat="1" applyFont="1" applyBorder="1" applyAlignment="1">
      <alignment horizontal="left"/>
    </xf>
    <xf numFmtId="1" fontId="20" fillId="0" borderId="38" xfId="1" applyNumberFormat="1" applyFont="1" applyBorder="1" applyAlignment="1">
      <alignment horizontal="left"/>
    </xf>
    <xf numFmtId="1" fontId="20" fillId="0" borderId="78" xfId="0" applyNumberFormat="1" applyFont="1" applyFill="1" applyBorder="1" applyAlignment="1">
      <alignment horizontal="left"/>
    </xf>
    <xf numFmtId="1" fontId="20" fillId="0" borderId="38" xfId="0" applyNumberFormat="1" applyFont="1" applyFill="1" applyBorder="1" applyAlignment="1">
      <alignment horizontal="left"/>
    </xf>
    <xf numFmtId="1" fontId="21" fillId="0" borderId="4" xfId="0" applyNumberFormat="1" applyFont="1" applyBorder="1" applyAlignment="1">
      <alignment horizontal="left" vertical="center"/>
    </xf>
    <xf numFmtId="1" fontId="20" fillId="0" borderId="4" xfId="0" applyNumberFormat="1" applyFont="1" applyBorder="1" applyAlignment="1">
      <alignment horizontal="left" vertical="center"/>
    </xf>
    <xf numFmtId="1" fontId="20" fillId="0" borderId="23" xfId="0" applyNumberFormat="1" applyFont="1" applyBorder="1" applyAlignment="1">
      <alignment horizontal="left" vertical="center"/>
    </xf>
    <xf numFmtId="1" fontId="21" fillId="0" borderId="78" xfId="0" applyNumberFormat="1" applyFont="1" applyBorder="1" applyAlignment="1">
      <alignment horizontal="left" vertical="center"/>
    </xf>
    <xf numFmtId="1" fontId="24" fillId="0" borderId="16" xfId="1" applyNumberFormat="1" applyFont="1" applyBorder="1" applyAlignment="1">
      <alignment horizontal="left"/>
    </xf>
    <xf numFmtId="0" fontId="22" fillId="0" borderId="78" xfId="0" applyFont="1" applyBorder="1" applyAlignment="1">
      <alignment horizontal="left" vertical="center"/>
    </xf>
    <xf numFmtId="2" fontId="24" fillId="0" borderId="3" xfId="0" applyNumberFormat="1" applyFont="1" applyFill="1" applyBorder="1" applyAlignment="1">
      <alignment horizontal="left"/>
    </xf>
    <xf numFmtId="1" fontId="43" fillId="0" borderId="35" xfId="0" applyNumberFormat="1" applyFont="1" applyFill="1" applyBorder="1" applyAlignment="1">
      <alignment horizontal="left" vertical="top" wrapText="1"/>
    </xf>
    <xf numFmtId="1" fontId="43" fillId="0" borderId="21" xfId="0" applyNumberFormat="1" applyFont="1" applyFill="1" applyBorder="1" applyAlignment="1">
      <alignment horizontal="left" vertical="center"/>
    </xf>
    <xf numFmtId="1" fontId="43" fillId="0" borderId="22" xfId="0" applyNumberFormat="1" applyFont="1" applyFill="1" applyBorder="1" applyAlignment="1">
      <alignment horizontal="left" vertical="center"/>
    </xf>
    <xf numFmtId="1" fontId="43" fillId="0" borderId="20" xfId="0" applyNumberFormat="1" applyFont="1" applyBorder="1" applyAlignment="1">
      <alignment horizontal="left" vertical="center"/>
    </xf>
    <xf numFmtId="1" fontId="43" fillId="0" borderId="20" xfId="0" applyNumberFormat="1" applyFont="1" applyFill="1" applyBorder="1" applyAlignment="1">
      <alignment horizontal="left" vertical="center"/>
    </xf>
    <xf numFmtId="1" fontId="43" fillId="0" borderId="0" xfId="0" applyNumberFormat="1" applyFont="1" applyFill="1" applyAlignment="1">
      <alignment horizontal="left"/>
    </xf>
    <xf numFmtId="1" fontId="44" fillId="0" borderId="34" xfId="0" applyNumberFormat="1" applyFont="1" applyFill="1" applyBorder="1" applyAlignment="1">
      <alignment horizontal="left" vertical="top" wrapText="1"/>
    </xf>
    <xf numFmtId="1" fontId="43" fillId="0" borderId="1" xfId="0" applyNumberFormat="1" applyFont="1" applyBorder="1" applyAlignment="1">
      <alignment horizontal="left" vertical="center"/>
    </xf>
    <xf numFmtId="1" fontId="43" fillId="0" borderId="2" xfId="0" applyNumberFormat="1" applyFont="1" applyBorder="1" applyAlignment="1">
      <alignment horizontal="left" vertical="center"/>
    </xf>
    <xf numFmtId="1" fontId="43" fillId="0" borderId="3" xfId="0" applyNumberFormat="1" applyFont="1" applyBorder="1" applyAlignment="1">
      <alignment horizontal="left" vertical="center"/>
    </xf>
    <xf numFmtId="1" fontId="43" fillId="0" borderId="16" xfId="0" applyNumberFormat="1" applyFont="1" applyBorder="1" applyAlignment="1">
      <alignment horizontal="left" vertical="center"/>
    </xf>
    <xf numFmtId="1" fontId="44" fillId="0" borderId="0" xfId="0" applyNumberFormat="1" applyFont="1" applyAlignment="1">
      <alignment horizontal="left"/>
    </xf>
    <xf numFmtId="1" fontId="44" fillId="0" borderId="1" xfId="0" applyNumberFormat="1" applyFont="1" applyBorder="1" applyAlignment="1">
      <alignment horizontal="left" vertical="center"/>
    </xf>
    <xf numFmtId="1" fontId="44" fillId="0" borderId="2" xfId="0" applyNumberFormat="1" applyFont="1" applyBorder="1" applyAlignment="1">
      <alignment horizontal="left" vertical="center"/>
    </xf>
    <xf numFmtId="0" fontId="45" fillId="0" borderId="34" xfId="0" applyFont="1" applyBorder="1" applyAlignment="1">
      <alignment horizontal="left"/>
    </xf>
    <xf numFmtId="0" fontId="46" fillId="0" borderId="34" xfId="0" applyFont="1" applyBorder="1"/>
    <xf numFmtId="2" fontId="47" fillId="0" borderId="16" xfId="0" applyNumberFormat="1" applyFont="1" applyBorder="1" applyAlignment="1">
      <alignment vertical="center"/>
    </xf>
    <xf numFmtId="2" fontId="47" fillId="0" borderId="17" xfId="0" applyNumberFormat="1" applyFont="1" applyBorder="1" applyAlignment="1">
      <alignment vertical="center"/>
    </xf>
    <xf numFmtId="2" fontId="47" fillId="0" borderId="17" xfId="0" applyNumberFormat="1" applyFont="1" applyBorder="1" applyAlignment="1">
      <alignment horizontal="right"/>
    </xf>
    <xf numFmtId="2" fontId="47" fillId="0" borderId="16" xfId="0" applyNumberFormat="1" applyFont="1" applyBorder="1" applyAlignment="1">
      <alignment horizontal="right"/>
    </xf>
    <xf numFmtId="2" fontId="43" fillId="0" borderId="17" xfId="0" applyNumberFormat="1" applyFont="1" applyBorder="1" applyAlignment="1">
      <alignment horizontal="right"/>
    </xf>
    <xf numFmtId="2" fontId="43" fillId="0" borderId="17" xfId="0" applyNumberFormat="1" applyFont="1" applyBorder="1" applyAlignment="1">
      <alignment horizontal="left"/>
    </xf>
    <xf numFmtId="2" fontId="47" fillId="0" borderId="17" xfId="1" applyNumberFormat="1" applyFont="1" applyBorder="1" applyAlignment="1">
      <alignment horizontal="right"/>
    </xf>
    <xf numFmtId="2" fontId="47" fillId="0" borderId="17" xfId="0" applyNumberFormat="1" applyFont="1" applyBorder="1" applyAlignment="1">
      <alignment horizontal="right" wrapText="1"/>
    </xf>
    <xf numFmtId="3" fontId="45" fillId="0" borderId="17" xfId="0" applyNumberFormat="1" applyFont="1" applyBorder="1" applyAlignment="1">
      <alignment horizontal="right"/>
    </xf>
    <xf numFmtId="2" fontId="47" fillId="0" borderId="17" xfId="0" applyNumberFormat="1" applyFont="1" applyFill="1" applyBorder="1" applyAlignment="1">
      <alignment horizontal="right"/>
    </xf>
    <xf numFmtId="0" fontId="46" fillId="0" borderId="0" xfId="0" applyFont="1"/>
    <xf numFmtId="0" fontId="45" fillId="0" borderId="64" xfId="0" applyFont="1" applyBorder="1" applyAlignment="1">
      <alignment horizontal="left"/>
    </xf>
    <xf numFmtId="0" fontId="46" fillId="0" borderId="64" xfId="0" applyFont="1" applyBorder="1"/>
    <xf numFmtId="2" fontId="47" fillId="0" borderId="59" xfId="0" applyNumberFormat="1" applyFont="1" applyBorder="1" applyAlignment="1">
      <alignment vertical="center"/>
    </xf>
    <xf numFmtId="2" fontId="47" fillId="0" borderId="63" xfId="0" applyNumberFormat="1" applyFont="1" applyBorder="1" applyAlignment="1">
      <alignment vertical="center"/>
    </xf>
    <xf numFmtId="2" fontId="47" fillId="0" borderId="63" xfId="0" applyNumberFormat="1" applyFont="1" applyBorder="1" applyAlignment="1">
      <alignment horizontal="right"/>
    </xf>
    <xf numFmtId="2" fontId="47" fillId="0" borderId="59" xfId="0" applyNumberFormat="1" applyFont="1" applyBorder="1" applyAlignment="1">
      <alignment horizontal="right"/>
    </xf>
    <xf numFmtId="2" fontId="43" fillId="0" borderId="63" xfId="0" applyNumberFormat="1" applyFont="1" applyBorder="1" applyAlignment="1">
      <alignment horizontal="right"/>
    </xf>
    <xf numFmtId="2" fontId="45" fillId="0" borderId="63" xfId="0" applyNumberFormat="1" applyFont="1" applyBorder="1" applyAlignment="1">
      <alignment horizontal="left"/>
    </xf>
    <xf numFmtId="2" fontId="47" fillId="0" borderId="63" xfId="1" applyNumberFormat="1" applyFont="1" applyBorder="1" applyAlignment="1">
      <alignment horizontal="right"/>
    </xf>
    <xf numFmtId="2" fontId="47" fillId="0" borderId="63" xfId="0" applyNumberFormat="1" applyFont="1" applyBorder="1" applyAlignment="1">
      <alignment horizontal="right" wrapText="1"/>
    </xf>
    <xf numFmtId="3" fontId="45" fillId="0" borderId="63" xfId="0" applyNumberFormat="1" applyFont="1" applyBorder="1" applyAlignment="1">
      <alignment horizontal="right"/>
    </xf>
    <xf numFmtId="2" fontId="47" fillId="0" borderId="63" xfId="0" applyNumberFormat="1" applyFont="1" applyFill="1" applyBorder="1" applyAlignment="1">
      <alignment horizontal="right"/>
    </xf>
    <xf numFmtId="2" fontId="47" fillId="0" borderId="17" xfId="2" applyNumberFormat="1" applyFont="1" applyBorder="1" applyAlignment="1">
      <alignment horizontal="right"/>
    </xf>
    <xf numFmtId="2" fontId="43" fillId="0" borderId="16" xfId="1" applyNumberFormat="1" applyFont="1" applyBorder="1" applyAlignment="1">
      <alignment horizontal="right"/>
    </xf>
    <xf numFmtId="2" fontId="43" fillId="0" borderId="17" xfId="1" applyNumberFormat="1" applyFont="1" applyBorder="1" applyAlignment="1">
      <alignment horizontal="right"/>
    </xf>
    <xf numFmtId="0" fontId="7" fillId="0" borderId="0" xfId="0" applyFont="1"/>
    <xf numFmtId="0" fontId="7" fillId="0" borderId="38" xfId="0" applyFont="1" applyBorder="1"/>
    <xf numFmtId="1" fontId="15" fillId="0" borderId="16" xfId="0" applyNumberFormat="1" applyFont="1" applyBorder="1" applyAlignment="1">
      <alignment horizontal="left" vertical="center"/>
    </xf>
    <xf numFmtId="1" fontId="21" fillId="0" borderId="16" xfId="0" applyNumberFormat="1" applyFont="1" applyBorder="1" applyAlignment="1">
      <alignment horizontal="left" vertical="center"/>
    </xf>
    <xf numFmtId="1" fontId="15" fillId="0" borderId="50" xfId="0" applyNumberFormat="1" applyFont="1" applyBorder="1" applyAlignment="1">
      <alignment horizontal="left" vertical="center"/>
    </xf>
    <xf numFmtId="1" fontId="43" fillId="0" borderId="34" xfId="0" applyNumberFormat="1" applyFont="1" applyBorder="1" applyAlignment="1">
      <alignment horizontal="left" vertical="center"/>
    </xf>
    <xf numFmtId="1" fontId="15" fillId="0" borderId="35" xfId="0" applyNumberFormat="1" applyFont="1" applyBorder="1" applyAlignment="1">
      <alignment horizontal="left" vertical="center"/>
    </xf>
    <xf numFmtId="1" fontId="43" fillId="0" borderId="35" xfId="0" applyNumberFormat="1" applyFont="1" applyBorder="1" applyAlignment="1">
      <alignment horizontal="left" vertical="center"/>
    </xf>
    <xf numFmtId="2" fontId="15" fillId="0" borderId="79" xfId="0" applyNumberFormat="1" applyFont="1" applyBorder="1" applyAlignment="1">
      <alignment horizontal="left"/>
    </xf>
    <xf numFmtId="1" fontId="15" fillId="0" borderId="57" xfId="0" applyNumberFormat="1" applyFont="1" applyBorder="1" applyAlignment="1">
      <alignment horizontal="left"/>
    </xf>
    <xf numFmtId="1" fontId="14" fillId="0" borderId="14" xfId="0" applyNumberFormat="1" applyFont="1" applyBorder="1" applyAlignment="1">
      <alignment horizontal="left"/>
    </xf>
    <xf numFmtId="1" fontId="43" fillId="0" borderId="14" xfId="0" applyNumberFormat="1" applyFont="1" applyBorder="1" applyAlignment="1">
      <alignment horizontal="left" vertical="center"/>
    </xf>
    <xf numFmtId="1" fontId="1" fillId="0" borderId="14" xfId="0" applyNumberFormat="1" applyFont="1" applyBorder="1" applyAlignment="1">
      <alignment horizontal="left"/>
    </xf>
    <xf numFmtId="1" fontId="1" fillId="0" borderId="24" xfId="0" applyNumberFormat="1" applyFont="1" applyBorder="1" applyAlignment="1">
      <alignment horizontal="left"/>
    </xf>
    <xf numFmtId="1" fontId="43" fillId="0" borderId="24" xfId="0" applyNumberFormat="1" applyFont="1" applyFill="1" applyBorder="1" applyAlignment="1">
      <alignment horizontal="left" vertical="center"/>
    </xf>
    <xf numFmtId="2" fontId="14" fillId="0" borderId="79" xfId="0" applyNumberFormat="1" applyFont="1" applyBorder="1" applyAlignment="1">
      <alignment horizontal="left"/>
    </xf>
    <xf numFmtId="1" fontId="14" fillId="0" borderId="14" xfId="1" applyNumberFormat="1" applyFont="1" applyBorder="1" applyAlignment="1">
      <alignment horizontal="left"/>
    </xf>
    <xf numFmtId="1" fontId="4" fillId="0" borderId="14" xfId="1" applyNumberFormat="1" applyFont="1" applyBorder="1" applyAlignment="1">
      <alignment horizontal="left"/>
    </xf>
    <xf numFmtId="1" fontId="4" fillId="0" borderId="24" xfId="1" applyNumberFormat="1" applyFont="1" applyBorder="1" applyAlignment="1">
      <alignment horizontal="left"/>
    </xf>
    <xf numFmtId="2" fontId="14" fillId="0" borderId="79" xfId="1" applyNumberFormat="1" applyFont="1" applyBorder="1" applyAlignment="1">
      <alignment horizontal="left"/>
    </xf>
    <xf numFmtId="2" fontId="14" fillId="0" borderId="14" xfId="1" applyNumberFormat="1" applyFont="1" applyBorder="1" applyAlignment="1">
      <alignment horizontal="left"/>
    </xf>
    <xf numFmtId="2" fontId="14" fillId="0" borderId="57" xfId="1" applyNumberFormat="1" applyFont="1" applyBorder="1" applyAlignment="1">
      <alignment horizontal="left"/>
    </xf>
    <xf numFmtId="1" fontId="4" fillId="0" borderId="14" xfId="0" applyNumberFormat="1" applyFont="1" applyFill="1" applyBorder="1" applyAlignment="1">
      <alignment horizontal="left"/>
    </xf>
    <xf numFmtId="2" fontId="14" fillId="0" borderId="79" xfId="0" applyNumberFormat="1" applyFont="1" applyFill="1" applyBorder="1" applyAlignment="1">
      <alignment horizontal="left"/>
    </xf>
    <xf numFmtId="1" fontId="14" fillId="0" borderId="57" xfId="0" applyNumberFormat="1" applyFont="1" applyFill="1" applyBorder="1" applyAlignment="1">
      <alignment horizontal="left"/>
    </xf>
    <xf numFmtId="1" fontId="43" fillId="0" borderId="31" xfId="0" applyNumberFormat="1" applyFont="1" applyFill="1" applyBorder="1" applyAlignment="1">
      <alignment horizontal="left" vertical="center"/>
    </xf>
    <xf numFmtId="2" fontId="14" fillId="0" borderId="36" xfId="1" applyNumberFormat="1" applyFont="1" applyBorder="1" applyAlignment="1">
      <alignment horizontal="left"/>
    </xf>
    <xf numFmtId="2" fontId="14" fillId="0" borderId="1" xfId="1" applyNumberFormat="1" applyFont="1" applyBorder="1" applyAlignment="1">
      <alignment horizontal="left"/>
    </xf>
    <xf numFmtId="2" fontId="14" fillId="0" borderId="13" xfId="1" applyNumberFormat="1" applyFont="1" applyBorder="1" applyAlignment="1">
      <alignment horizontal="left"/>
    </xf>
    <xf numFmtId="1" fontId="14" fillId="0" borderId="33" xfId="0" applyNumberFormat="1" applyFont="1" applyFill="1" applyBorder="1" applyAlignment="1">
      <alignment horizontal="left" vertical="center" shrinkToFit="1"/>
    </xf>
    <xf numFmtId="1" fontId="14" fillId="0" borderId="14" xfId="0" applyNumberFormat="1" applyFont="1" applyFill="1" applyBorder="1" applyAlignment="1">
      <alignment horizontal="left" wrapText="1"/>
    </xf>
    <xf numFmtId="1" fontId="14" fillId="0" borderId="14" xfId="0" applyNumberFormat="1" applyFont="1" applyFill="1" applyBorder="1" applyAlignment="1">
      <alignment horizontal="left" vertical="top" shrinkToFit="1"/>
    </xf>
    <xf numFmtId="1" fontId="14" fillId="0" borderId="14" xfId="0" applyNumberFormat="1" applyFont="1" applyFill="1" applyBorder="1" applyAlignment="1">
      <alignment horizontal="left" vertical="top" wrapText="1"/>
    </xf>
    <xf numFmtId="1" fontId="14" fillId="0" borderId="24" xfId="0" applyNumberFormat="1" applyFont="1" applyFill="1" applyBorder="1" applyAlignment="1">
      <alignment horizontal="left" vertical="top" wrapText="1"/>
    </xf>
    <xf numFmtId="2" fontId="14" fillId="0" borderId="79" xfId="0" applyNumberFormat="1" applyFont="1" applyFill="1" applyBorder="1" applyAlignment="1">
      <alignment horizontal="left" vertical="center" wrapText="1"/>
    </xf>
    <xf numFmtId="1" fontId="14" fillId="0" borderId="1" xfId="0" applyNumberFormat="1" applyFont="1" applyFill="1" applyBorder="1" applyAlignment="1">
      <alignment horizontal="left"/>
    </xf>
    <xf numFmtId="2" fontId="14" fillId="0" borderId="36" xfId="0" applyNumberFormat="1" applyFont="1" applyFill="1" applyBorder="1" applyAlignment="1">
      <alignment horizontal="left"/>
    </xf>
    <xf numFmtId="1" fontId="14" fillId="0" borderId="13" xfId="0" applyNumberFormat="1" applyFont="1" applyFill="1" applyBorder="1" applyAlignment="1">
      <alignment horizontal="left"/>
    </xf>
    <xf numFmtId="1" fontId="4" fillId="0" borderId="14" xfId="0" applyNumberFormat="1" applyFont="1" applyBorder="1" applyAlignment="1">
      <alignment horizontal="left"/>
    </xf>
    <xf numFmtId="1" fontId="4" fillId="0" borderId="24" xfId="0" applyNumberFormat="1" applyFont="1" applyBorder="1" applyAlignment="1">
      <alignment horizontal="left"/>
    </xf>
    <xf numFmtId="1" fontId="14" fillId="0" borderId="57" xfId="0" applyNumberFormat="1" applyFont="1" applyBorder="1" applyAlignment="1">
      <alignment horizontal="left"/>
    </xf>
    <xf numFmtId="1" fontId="14" fillId="0" borderId="1" xfId="0" applyNumberFormat="1" applyFont="1" applyBorder="1" applyAlignment="1">
      <alignment horizontal="left" wrapText="1"/>
    </xf>
    <xf numFmtId="1" fontId="14" fillId="0" borderId="20" xfId="0" applyNumberFormat="1" applyFont="1" applyBorder="1" applyAlignment="1">
      <alignment horizontal="left" wrapText="1"/>
    </xf>
    <xf numFmtId="1" fontId="14" fillId="0" borderId="13" xfId="0" applyNumberFormat="1" applyFont="1" applyBorder="1" applyAlignment="1">
      <alignment horizontal="left" wrapText="1"/>
    </xf>
    <xf numFmtId="1" fontId="43" fillId="0" borderId="77" xfId="0" applyNumberFormat="1" applyFont="1" applyFill="1" applyBorder="1" applyAlignment="1">
      <alignment horizontal="left" vertical="center"/>
    </xf>
    <xf numFmtId="1" fontId="43" fillId="0" borderId="19" xfId="0" applyNumberFormat="1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left"/>
    </xf>
    <xf numFmtId="1" fontId="1" fillId="0" borderId="20" xfId="0" applyNumberFormat="1" applyFont="1" applyBorder="1" applyAlignment="1">
      <alignment horizontal="left"/>
    </xf>
    <xf numFmtId="1" fontId="14" fillId="0" borderId="14" xfId="2" applyNumberFormat="1" applyFont="1" applyBorder="1" applyAlignment="1">
      <alignment horizontal="left"/>
    </xf>
    <xf numFmtId="1" fontId="4" fillId="0" borderId="14" xfId="2" applyNumberFormat="1" applyFont="1" applyBorder="1" applyAlignment="1">
      <alignment horizontal="left"/>
    </xf>
    <xf numFmtId="1" fontId="4" fillId="0" borderId="24" xfId="2" applyNumberFormat="1" applyFont="1" applyBorder="1" applyAlignment="1">
      <alignment horizontal="left"/>
    </xf>
    <xf numFmtId="2" fontId="14" fillId="0" borderId="79" xfId="2" applyNumberFormat="1" applyFont="1" applyBorder="1" applyAlignment="1">
      <alignment horizontal="left"/>
    </xf>
    <xf numFmtId="2" fontId="15" fillId="0" borderId="57" xfId="0" applyNumberFormat="1" applyFont="1" applyBorder="1" applyAlignment="1">
      <alignment horizontal="left"/>
    </xf>
    <xf numFmtId="1" fontId="14" fillId="0" borderId="20" xfId="2" applyNumberFormat="1" applyFont="1" applyBorder="1" applyAlignment="1">
      <alignment horizontal="left"/>
    </xf>
    <xf numFmtId="2" fontId="14" fillId="0" borderId="36" xfId="2" applyNumberFormat="1" applyFont="1" applyBorder="1" applyAlignment="1">
      <alignment horizontal="left"/>
    </xf>
    <xf numFmtId="2" fontId="15" fillId="0" borderId="13" xfId="0" applyNumberFormat="1" applyFont="1" applyBorder="1" applyAlignment="1">
      <alignment horizontal="left"/>
    </xf>
    <xf numFmtId="2" fontId="14" fillId="0" borderId="69" xfId="0" applyNumberFormat="1" applyFont="1" applyBorder="1" applyAlignment="1">
      <alignment horizontal="left"/>
    </xf>
    <xf numFmtId="1" fontId="18" fillId="0" borderId="50" xfId="0" applyNumberFormat="1" applyFont="1" applyFill="1" applyBorder="1" applyAlignment="1">
      <alignment horizontal="left" vertical="center" wrapText="1"/>
    </xf>
    <xf numFmtId="1" fontId="43" fillId="0" borderId="75" xfId="0" applyNumberFormat="1" applyFont="1" applyFill="1" applyBorder="1" applyAlignment="1">
      <alignment horizontal="left" vertical="center"/>
    </xf>
    <xf numFmtId="2" fontId="14" fillId="0" borderId="34" xfId="0" applyNumberFormat="1" applyFont="1" applyBorder="1" applyAlignment="1">
      <alignment horizontal="left" vertical="center"/>
    </xf>
    <xf numFmtId="2" fontId="24" fillId="0" borderId="14" xfId="0" applyNumberFormat="1" applyFont="1" applyBorder="1" applyAlignment="1">
      <alignment horizontal="left" vertical="center"/>
    </xf>
    <xf numFmtId="1" fontId="24" fillId="0" borderId="14" xfId="0" applyNumberFormat="1" applyFont="1" applyBorder="1" applyAlignment="1">
      <alignment horizontal="left" vertical="center"/>
    </xf>
    <xf numFmtId="0" fontId="22" fillId="0" borderId="79" xfId="0" applyFont="1" applyBorder="1" applyAlignment="1">
      <alignment horizontal="left" vertical="center"/>
    </xf>
    <xf numFmtId="2" fontId="24" fillId="0" borderId="14" xfId="2" applyNumberFormat="1" applyFont="1" applyBorder="1" applyAlignment="1">
      <alignment horizontal="left"/>
    </xf>
    <xf numFmtId="1" fontId="24" fillId="0" borderId="14" xfId="2" applyNumberFormat="1" applyFont="1" applyBorder="1" applyAlignment="1">
      <alignment horizontal="left"/>
    </xf>
    <xf numFmtId="1" fontId="24" fillId="0" borderId="34" xfId="0" applyNumberFormat="1" applyFont="1" applyBorder="1" applyAlignment="1">
      <alignment horizontal="left"/>
    </xf>
    <xf numFmtId="1" fontId="24" fillId="0" borderId="19" xfId="0" applyNumberFormat="1" applyFont="1" applyBorder="1" applyAlignment="1">
      <alignment horizontal="left"/>
    </xf>
    <xf numFmtId="0" fontId="41" fillId="0" borderId="3" xfId="0" applyFont="1" applyBorder="1" applyAlignment="1">
      <alignment horizontal="left"/>
    </xf>
    <xf numFmtId="2" fontId="24" fillId="0" borderId="1" xfId="0" applyNumberFormat="1" applyFont="1" applyFill="1" applyBorder="1" applyAlignment="1">
      <alignment horizontal="left"/>
    </xf>
    <xf numFmtId="2" fontId="22" fillId="0" borderId="3" xfId="0" applyNumberFormat="1" applyFont="1" applyBorder="1" applyAlignment="1">
      <alignment horizontal="left"/>
    </xf>
    <xf numFmtId="2" fontId="24" fillId="0" borderId="1" xfId="1" applyNumberFormat="1" applyFont="1" applyBorder="1" applyAlignment="1">
      <alignment horizontal="left"/>
    </xf>
    <xf numFmtId="1" fontId="24" fillId="0" borderId="0" xfId="0" applyNumberFormat="1" applyFont="1" applyAlignment="1">
      <alignment horizontal="center" vertical="center" wrapText="1"/>
    </xf>
    <xf numFmtId="1" fontId="21" fillId="0" borderId="33" xfId="0" applyNumberFormat="1" applyFont="1" applyBorder="1" applyAlignment="1">
      <alignment horizontal="left" vertical="center"/>
    </xf>
    <xf numFmtId="1" fontId="20" fillId="0" borderId="14" xfId="0" applyNumberFormat="1" applyFont="1" applyBorder="1" applyAlignment="1">
      <alignment horizontal="left" vertical="center"/>
    </xf>
    <xf numFmtId="1" fontId="20" fillId="0" borderId="24" xfId="0" applyNumberFormat="1" applyFont="1" applyBorder="1" applyAlignment="1">
      <alignment horizontal="left" vertical="center"/>
    </xf>
    <xf numFmtId="1" fontId="20" fillId="0" borderId="79" xfId="0" applyNumberFormat="1" applyFont="1" applyBorder="1" applyAlignment="1">
      <alignment horizontal="left" vertical="center"/>
    </xf>
    <xf numFmtId="1" fontId="20" fillId="0" borderId="20" xfId="0" applyNumberFormat="1" applyFont="1" applyBorder="1" applyAlignment="1">
      <alignment horizontal="left"/>
    </xf>
    <xf numFmtId="1" fontId="20" fillId="0" borderId="36" xfId="0" applyNumberFormat="1" applyFont="1" applyBorder="1" applyAlignment="1">
      <alignment horizontal="left"/>
    </xf>
    <xf numFmtId="1" fontId="19" fillId="0" borderId="18" xfId="0" applyNumberFormat="1" applyFont="1" applyBorder="1" applyAlignment="1">
      <alignment horizontal="left"/>
    </xf>
    <xf numFmtId="1" fontId="20" fillId="0" borderId="24" xfId="0" applyNumberFormat="1" applyFont="1" applyBorder="1" applyAlignment="1">
      <alignment horizontal="left"/>
    </xf>
    <xf numFmtId="1" fontId="20" fillId="0" borderId="79" xfId="0" applyNumberFormat="1" applyFont="1" applyBorder="1" applyAlignment="1">
      <alignment horizontal="left"/>
    </xf>
    <xf numFmtId="1" fontId="20" fillId="0" borderId="20" xfId="2" applyNumberFormat="1" applyFont="1" applyBorder="1" applyAlignment="1">
      <alignment horizontal="left"/>
    </xf>
    <xf numFmtId="1" fontId="20" fillId="0" borderId="22" xfId="2" applyNumberFormat="1" applyFont="1" applyBorder="1" applyAlignment="1">
      <alignment horizontal="left"/>
    </xf>
    <xf numFmtId="1" fontId="20" fillId="0" borderId="36" xfId="1" applyNumberFormat="1" applyFont="1" applyBorder="1" applyAlignment="1">
      <alignment horizontal="left"/>
    </xf>
    <xf numFmtId="1" fontId="5" fillId="0" borderId="22" xfId="0" applyNumberFormat="1" applyFont="1" applyBorder="1" applyAlignment="1">
      <alignment horizontal="left"/>
    </xf>
    <xf numFmtId="1" fontId="20" fillId="0" borderId="22" xfId="0" applyNumberFormat="1" applyFont="1" applyFill="1" applyBorder="1" applyAlignment="1">
      <alignment horizontal="left"/>
    </xf>
    <xf numFmtId="1" fontId="20" fillId="0" borderId="20" xfId="0" applyNumberFormat="1" applyFont="1" applyBorder="1" applyAlignment="1">
      <alignment horizontal="left" wrapText="1"/>
    </xf>
    <xf numFmtId="1" fontId="20" fillId="0" borderId="36" xfId="0" applyNumberFormat="1" applyFont="1" applyBorder="1" applyAlignment="1">
      <alignment horizontal="left" wrapText="1"/>
    </xf>
    <xf numFmtId="1" fontId="40" fillId="0" borderId="3" xfId="0" applyNumberFormat="1" applyFont="1" applyBorder="1" applyAlignment="1">
      <alignment horizontal="left"/>
    </xf>
    <xf numFmtId="1" fontId="20" fillId="0" borderId="18" xfId="0" applyNumberFormat="1" applyFont="1" applyBorder="1" applyAlignment="1">
      <alignment horizontal="left"/>
    </xf>
    <xf numFmtId="1" fontId="40" fillId="0" borderId="22" xfId="0" applyNumberFormat="1" applyFont="1" applyBorder="1" applyAlignment="1">
      <alignment horizontal="left"/>
    </xf>
    <xf numFmtId="1" fontId="21" fillId="0" borderId="36" xfId="0" applyNumberFormat="1" applyFont="1" applyBorder="1" applyAlignment="1">
      <alignment horizontal="left" vertical="center"/>
    </xf>
    <xf numFmtId="1" fontId="20" fillId="0" borderId="23" xfId="1" applyNumberFormat="1" applyFont="1" applyBorder="1" applyAlignment="1">
      <alignment horizontal="left"/>
    </xf>
    <xf numFmtId="1" fontId="20" fillId="0" borderId="22" xfId="1" applyNumberFormat="1" applyFont="1" applyBorder="1" applyAlignment="1">
      <alignment horizontal="left"/>
    </xf>
    <xf numFmtId="2" fontId="22" fillId="0" borderId="14" xfId="0" applyNumberFormat="1" applyFont="1" applyBorder="1" applyAlignment="1">
      <alignment horizontal="left" vertical="center"/>
    </xf>
    <xf numFmtId="2" fontId="24" fillId="0" borderId="24" xfId="0" applyNumberFormat="1" applyFont="1" applyBorder="1" applyAlignment="1">
      <alignment horizontal="left" vertical="center"/>
    </xf>
    <xf numFmtId="2" fontId="37" fillId="0" borderId="44" xfId="0" applyNumberFormat="1" applyFont="1" applyBorder="1" applyAlignment="1">
      <alignment horizontal="left" vertical="center"/>
    </xf>
    <xf numFmtId="0" fontId="24" fillId="0" borderId="71" xfId="0" applyFont="1" applyBorder="1" applyAlignment="1">
      <alignment horizontal="left"/>
    </xf>
    <xf numFmtId="2" fontId="24" fillId="0" borderId="72" xfId="0" applyNumberFormat="1" applyFont="1" applyBorder="1" applyAlignment="1">
      <alignment horizontal="left"/>
    </xf>
    <xf numFmtId="2" fontId="36" fillId="0" borderId="80" xfId="0" applyNumberFormat="1" applyFont="1" applyBorder="1" applyAlignment="1">
      <alignment horizontal="left"/>
    </xf>
    <xf numFmtId="1" fontId="37" fillId="0" borderId="42" xfId="0" applyNumberFormat="1" applyFont="1" applyBorder="1" applyAlignment="1">
      <alignment horizontal="left" vertical="center"/>
    </xf>
    <xf numFmtId="0" fontId="22" fillId="0" borderId="72" xfId="0" applyFont="1" applyBorder="1" applyAlignment="1">
      <alignment horizontal="left" vertical="center"/>
    </xf>
    <xf numFmtId="1" fontId="17" fillId="0" borderId="79" xfId="0" applyNumberFormat="1" applyFont="1" applyBorder="1" applyAlignment="1">
      <alignment horizontal="left"/>
    </xf>
    <xf numFmtId="1" fontId="24" fillId="0" borderId="57" xfId="0" applyNumberFormat="1" applyFont="1" applyBorder="1" applyAlignment="1">
      <alignment horizontal="left"/>
    </xf>
    <xf numFmtId="1" fontId="24" fillId="0" borderId="14" xfId="1" applyNumberFormat="1" applyFont="1" applyBorder="1" applyAlignment="1">
      <alignment horizontal="left"/>
    </xf>
    <xf numFmtId="1" fontId="24" fillId="0" borderId="24" xfId="1" applyNumberFormat="1" applyFont="1" applyBorder="1" applyAlignment="1">
      <alignment horizontal="left"/>
    </xf>
    <xf numFmtId="1" fontId="37" fillId="0" borderId="44" xfId="0" applyNumberFormat="1" applyFont="1" applyBorder="1" applyAlignment="1">
      <alignment horizontal="left"/>
    </xf>
    <xf numFmtId="1" fontId="24" fillId="0" borderId="44" xfId="0" applyNumberFormat="1" applyFont="1" applyBorder="1" applyAlignment="1">
      <alignment horizontal="left"/>
    </xf>
    <xf numFmtId="1" fontId="36" fillId="0" borderId="71" xfId="0" applyNumberFormat="1" applyFont="1" applyBorder="1" applyAlignment="1">
      <alignment horizontal="left"/>
    </xf>
    <xf numFmtId="0" fontId="33" fillId="0" borderId="59" xfId="0" applyFont="1" applyBorder="1" applyAlignment="1">
      <alignment horizontal="left"/>
    </xf>
    <xf numFmtId="0" fontId="1" fillId="0" borderId="0" xfId="0" applyFont="1" applyAlignment="1">
      <alignment horizontal="justify" vertical="justify" wrapText="1"/>
    </xf>
    <xf numFmtId="2" fontId="15" fillId="0" borderId="14" xfId="0" applyNumberFormat="1" applyFont="1" applyBorder="1" applyAlignment="1">
      <alignment horizontal="left" vertical="center"/>
    </xf>
    <xf numFmtId="2" fontId="16" fillId="0" borderId="14" xfId="0" applyNumberFormat="1" applyFont="1" applyBorder="1" applyAlignment="1">
      <alignment horizontal="left" vertical="center"/>
    </xf>
    <xf numFmtId="165" fontId="23" fillId="0" borderId="20" xfId="0" applyNumberFormat="1" applyFont="1" applyBorder="1" applyAlignment="1">
      <alignment horizontal="left"/>
    </xf>
    <xf numFmtId="0" fontId="23" fillId="0" borderId="3" xfId="0" applyFont="1" applyBorder="1" applyAlignment="1">
      <alignment horizontal="left"/>
    </xf>
    <xf numFmtId="165" fontId="23" fillId="0" borderId="22" xfId="0" applyNumberFormat="1" applyFont="1" applyBorder="1" applyAlignment="1">
      <alignment horizontal="left"/>
    </xf>
    <xf numFmtId="0" fontId="15" fillId="0" borderId="79" xfId="0" applyFont="1" applyBorder="1" applyAlignment="1">
      <alignment horizontal="left"/>
    </xf>
    <xf numFmtId="0" fontId="15" fillId="0" borderId="14" xfId="0" applyFont="1" applyBorder="1" applyAlignment="1">
      <alignment horizontal="left"/>
    </xf>
    <xf numFmtId="2" fontId="15" fillId="0" borderId="10" xfId="0" applyNumberFormat="1" applyFont="1" applyBorder="1" applyAlignment="1">
      <alignment horizontal="left" vertical="center"/>
    </xf>
    <xf numFmtId="2" fontId="15" fillId="0" borderId="29" xfId="0" applyNumberFormat="1" applyFont="1" applyBorder="1" applyAlignment="1">
      <alignment horizontal="left" vertical="center"/>
    </xf>
    <xf numFmtId="2" fontId="15" fillId="0" borderId="28" xfId="0" applyNumberFormat="1" applyFont="1" applyBorder="1" applyAlignment="1">
      <alignment horizontal="left" vertical="center"/>
    </xf>
    <xf numFmtId="1" fontId="15" fillId="0" borderId="14" xfId="1" applyNumberFormat="1" applyFont="1" applyBorder="1" applyAlignment="1">
      <alignment horizontal="left"/>
    </xf>
    <xf numFmtId="1" fontId="27" fillId="0" borderId="61" xfId="1" applyNumberFormat="1" applyFont="1" applyBorder="1" applyAlignment="1">
      <alignment horizontal="left"/>
    </xf>
    <xf numFmtId="1" fontId="14" fillId="0" borderId="72" xfId="1" applyNumberFormat="1" applyFont="1" applyBorder="1" applyAlignment="1">
      <alignment horizontal="left"/>
    </xf>
    <xf numFmtId="0" fontId="24" fillId="0" borderId="0" xfId="0" applyFont="1" applyAlignment="1">
      <alignment horizontal="justify" vertical="justify" wrapText="1"/>
    </xf>
    <xf numFmtId="1" fontId="15" fillId="0" borderId="14" xfId="0" applyNumberFormat="1" applyFont="1" applyBorder="1" applyAlignment="1">
      <alignment horizontal="left" vertical="center"/>
    </xf>
    <xf numFmtId="1" fontId="15" fillId="0" borderId="24" xfId="0" applyNumberFormat="1" applyFont="1" applyBorder="1" applyAlignment="1">
      <alignment horizontal="left" vertical="center"/>
    </xf>
    <xf numFmtId="1" fontId="15" fillId="0" borderId="72" xfId="0" applyNumberFormat="1" applyFont="1" applyBorder="1" applyAlignment="1">
      <alignment horizontal="left" vertical="center"/>
    </xf>
    <xf numFmtId="1" fontId="15" fillId="0" borderId="36" xfId="0" applyNumberFormat="1" applyFont="1" applyBorder="1" applyAlignment="1">
      <alignment horizontal="left" vertical="center"/>
    </xf>
    <xf numFmtId="1" fontId="15" fillId="0" borderId="38" xfId="0" applyNumberFormat="1" applyFont="1" applyFill="1" applyBorder="1" applyAlignment="1">
      <alignment horizontal="left" vertical="center"/>
    </xf>
    <xf numFmtId="1" fontId="26" fillId="0" borderId="1" xfId="0" applyNumberFormat="1" applyFont="1" applyBorder="1" applyAlignment="1">
      <alignment horizontal="left" vertical="center"/>
    </xf>
    <xf numFmtId="1" fontId="26" fillId="0" borderId="3" xfId="0" applyNumberFormat="1" applyFont="1" applyBorder="1" applyAlignment="1">
      <alignment horizontal="left" vertical="center"/>
    </xf>
    <xf numFmtId="1" fontId="26" fillId="0" borderId="13" xfId="0" applyNumberFormat="1" applyFont="1" applyBorder="1" applyAlignment="1">
      <alignment horizontal="left" vertical="center"/>
    </xf>
    <xf numFmtId="1" fontId="26" fillId="0" borderId="12" xfId="0" applyNumberFormat="1" applyFont="1" applyBorder="1" applyAlignment="1">
      <alignment horizontal="left" vertical="center"/>
    </xf>
    <xf numFmtId="1" fontId="15" fillId="0" borderId="1" xfId="2" applyNumberFormat="1" applyFont="1" applyBorder="1" applyAlignment="1">
      <alignment horizontal="left"/>
    </xf>
    <xf numFmtId="1" fontId="15" fillId="0" borderId="3" xfId="2" applyNumberFormat="1" applyFont="1" applyBorder="1" applyAlignment="1">
      <alignment horizontal="left"/>
    </xf>
    <xf numFmtId="1" fontId="15" fillId="0" borderId="20" xfId="2" applyNumberFormat="1" applyFont="1" applyBorder="1" applyAlignment="1">
      <alignment horizontal="left"/>
    </xf>
    <xf numFmtId="1" fontId="15" fillId="0" borderId="22" xfId="2" applyNumberFormat="1" applyFont="1" applyBorder="1" applyAlignment="1">
      <alignment horizontal="left"/>
    </xf>
    <xf numFmtId="1" fontId="15" fillId="0" borderId="33" xfId="0" applyNumberFormat="1" applyFont="1" applyBorder="1" applyAlignment="1">
      <alignment horizontal="left"/>
    </xf>
    <xf numFmtId="0" fontId="14" fillId="0" borderId="72" xfId="0" applyFont="1" applyBorder="1" applyAlignment="1">
      <alignment horizontal="left"/>
    </xf>
    <xf numFmtId="2" fontId="21" fillId="0" borderId="14" xfId="0" applyNumberFormat="1" applyFont="1" applyBorder="1" applyAlignment="1">
      <alignment horizontal="left"/>
    </xf>
    <xf numFmtId="2" fontId="21" fillId="0" borderId="3" xfId="0" applyNumberFormat="1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2" fontId="14" fillId="0" borderId="33" xfId="2" applyNumberFormat="1" applyFont="1" applyBorder="1" applyAlignment="1">
      <alignment horizontal="left"/>
    </xf>
    <xf numFmtId="2" fontId="14" fillId="0" borderId="14" xfId="2" applyNumberFormat="1" applyFont="1" applyBorder="1" applyAlignment="1">
      <alignment horizontal="left"/>
    </xf>
    <xf numFmtId="2" fontId="2" fillId="0" borderId="14" xfId="0" applyNumberFormat="1" applyFont="1" applyBorder="1" applyAlignment="1">
      <alignment horizontal="left"/>
    </xf>
    <xf numFmtId="1" fontId="14" fillId="0" borderId="33" xfId="1" applyNumberFormat="1" applyFont="1" applyBorder="1" applyAlignment="1">
      <alignment horizontal="left"/>
    </xf>
    <xf numFmtId="1" fontId="14" fillId="0" borderId="24" xfId="1" applyNumberFormat="1" applyFont="1" applyBorder="1" applyAlignment="1">
      <alignment horizontal="left"/>
    </xf>
    <xf numFmtId="1" fontId="4" fillId="0" borderId="72" xfId="1" applyNumberFormat="1" applyFont="1" applyBorder="1" applyAlignment="1">
      <alignment horizontal="left"/>
    </xf>
    <xf numFmtId="1" fontId="26" fillId="0" borderId="61" xfId="0" applyNumberFormat="1" applyFont="1" applyBorder="1" applyAlignment="1">
      <alignment horizontal="left"/>
    </xf>
    <xf numFmtId="1" fontId="15" fillId="0" borderId="52" xfId="0" applyNumberFormat="1" applyFont="1" applyBorder="1" applyAlignment="1">
      <alignment horizontal="left"/>
    </xf>
    <xf numFmtId="2" fontId="4" fillId="0" borderId="72" xfId="0" applyNumberFormat="1" applyFont="1" applyBorder="1" applyAlignment="1">
      <alignment horizontal="left"/>
    </xf>
    <xf numFmtId="3" fontId="18" fillId="0" borderId="36" xfId="0" applyNumberFormat="1" applyFont="1" applyBorder="1" applyAlignment="1">
      <alignment horizontal="left"/>
    </xf>
    <xf numFmtId="3" fontId="18" fillId="0" borderId="38" xfId="0" applyNumberFormat="1" applyFont="1" applyBorder="1" applyAlignment="1">
      <alignment horizontal="left"/>
    </xf>
    <xf numFmtId="3" fontId="18" fillId="0" borderId="1" xfId="0" applyNumberFormat="1" applyFont="1" applyBorder="1" applyAlignment="1">
      <alignment horizontal="left"/>
    </xf>
    <xf numFmtId="165" fontId="18" fillId="0" borderId="1" xfId="0" applyNumberFormat="1" applyFont="1" applyBorder="1" applyAlignment="1">
      <alignment horizontal="left"/>
    </xf>
    <xf numFmtId="165" fontId="18" fillId="0" borderId="3" xfId="0" applyNumberFormat="1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3" fontId="18" fillId="0" borderId="20" xfId="0" applyNumberFormat="1" applyFont="1" applyBorder="1" applyAlignment="1">
      <alignment horizontal="left"/>
    </xf>
    <xf numFmtId="3" fontId="18" fillId="0" borderId="22" xfId="0" applyNumberFormat="1" applyFont="1" applyBorder="1" applyAlignment="1">
      <alignment horizontal="left"/>
    </xf>
    <xf numFmtId="0" fontId="4" fillId="0" borderId="52" xfId="0" applyFont="1" applyBorder="1" applyAlignment="1">
      <alignment horizontal="left"/>
    </xf>
    <xf numFmtId="1" fontId="14" fillId="0" borderId="33" xfId="0" applyNumberFormat="1" applyFont="1" applyFill="1" applyBorder="1" applyAlignment="1">
      <alignment horizontal="left"/>
    </xf>
    <xf numFmtId="1" fontId="14" fillId="0" borderId="24" xfId="0" applyNumberFormat="1" applyFont="1" applyFill="1" applyBorder="1" applyAlignment="1">
      <alignment horizontal="left"/>
    </xf>
    <xf numFmtId="1" fontId="4" fillId="0" borderId="72" xfId="0" applyNumberFormat="1" applyFont="1" applyFill="1" applyBorder="1" applyAlignment="1">
      <alignment horizontal="left"/>
    </xf>
    <xf numFmtId="1" fontId="14" fillId="0" borderId="9" xfId="1" applyNumberFormat="1" applyFont="1" applyBorder="1" applyAlignment="1">
      <alignment horizontal="left"/>
    </xf>
    <xf numFmtId="1" fontId="14" fillId="0" borderId="3" xfId="1" applyNumberFormat="1" applyFont="1" applyBorder="1" applyAlignment="1">
      <alignment horizontal="left"/>
    </xf>
    <xf numFmtId="1" fontId="14" fillId="0" borderId="22" xfId="1" applyNumberFormat="1" applyFont="1" applyBorder="1" applyAlignment="1">
      <alignment horizontal="left"/>
    </xf>
    <xf numFmtId="1" fontId="14" fillId="0" borderId="33" xfId="0" applyNumberFormat="1" applyFont="1" applyBorder="1" applyAlignment="1">
      <alignment horizontal="left"/>
    </xf>
    <xf numFmtId="1" fontId="14" fillId="0" borderId="24" xfId="0" applyNumberFormat="1" applyFont="1" applyBorder="1" applyAlignment="1">
      <alignment horizontal="left"/>
    </xf>
    <xf numFmtId="1" fontId="4" fillId="0" borderId="72" xfId="0" applyNumberFormat="1" applyFont="1" applyBorder="1" applyAlignment="1">
      <alignment horizontal="left"/>
    </xf>
    <xf numFmtId="1" fontId="14" fillId="0" borderId="33" xfId="2" applyNumberFormat="1" applyFont="1" applyBorder="1" applyAlignment="1">
      <alignment horizontal="left"/>
    </xf>
    <xf numFmtId="1" fontId="1" fillId="0" borderId="72" xfId="0" applyNumberFormat="1" applyFont="1" applyBorder="1" applyAlignment="1">
      <alignment horizontal="left"/>
    </xf>
    <xf numFmtId="1" fontId="22" fillId="0" borderId="19" xfId="0" applyNumberFormat="1" applyFont="1" applyBorder="1" applyAlignment="1">
      <alignment horizontal="left" vertical="center"/>
    </xf>
    <xf numFmtId="1" fontId="22" fillId="0" borderId="17" xfId="0" applyNumberFormat="1" applyFont="1" applyBorder="1" applyAlignment="1">
      <alignment horizontal="left" vertical="center"/>
    </xf>
    <xf numFmtId="1" fontId="25" fillId="0" borderId="4" xfId="0" applyNumberFormat="1" applyFont="1" applyBorder="1" applyAlignment="1">
      <alignment horizontal="left"/>
    </xf>
    <xf numFmtId="2" fontId="20" fillId="0" borderId="17" xfId="0" applyNumberFormat="1" applyFont="1" applyBorder="1" applyAlignment="1">
      <alignment horizontal="left"/>
    </xf>
    <xf numFmtId="2" fontId="47" fillId="0" borderId="16" xfId="0" applyNumberFormat="1" applyFont="1" applyBorder="1" applyAlignment="1">
      <alignment horizontal="left" vertical="center"/>
    </xf>
    <xf numFmtId="2" fontId="1" fillId="0" borderId="13" xfId="0" applyNumberFormat="1" applyFont="1" applyBorder="1" applyAlignment="1">
      <alignment horizontal="left"/>
    </xf>
    <xf numFmtId="2" fontId="1" fillId="0" borderId="12" xfId="0" applyNumberFormat="1" applyFont="1" applyBorder="1" applyAlignment="1">
      <alignment horizontal="left"/>
    </xf>
    <xf numFmtId="2" fontId="15" fillId="0" borderId="1" xfId="0" applyNumberFormat="1" applyFont="1" applyFill="1" applyBorder="1" applyAlignment="1">
      <alignment horizontal="left" vertical="top" shrinkToFit="1"/>
    </xf>
    <xf numFmtId="2" fontId="15" fillId="0" borderId="14" xfId="0" applyNumberFormat="1" applyFont="1" applyFill="1" applyBorder="1" applyAlignment="1">
      <alignment horizontal="left" vertical="top" shrinkToFit="1"/>
    </xf>
    <xf numFmtId="2" fontId="15" fillId="0" borderId="13" xfId="0" applyNumberFormat="1" applyFont="1" applyFill="1" applyBorder="1" applyAlignment="1">
      <alignment horizontal="left" vertical="top" shrinkToFit="1"/>
    </xf>
    <xf numFmtId="2" fontId="15" fillId="0" borderId="57" xfId="0" applyNumberFormat="1" applyFont="1" applyFill="1" applyBorder="1" applyAlignment="1">
      <alignment horizontal="left" vertical="top" shrinkToFit="1"/>
    </xf>
    <xf numFmtId="1" fontId="24" fillId="0" borderId="4" xfId="0" applyNumberFormat="1" applyFont="1" applyBorder="1" applyAlignment="1">
      <alignment horizontal="left" vertical="center"/>
    </xf>
    <xf numFmtId="1" fontId="17" fillId="0" borderId="4" xfId="0" applyNumberFormat="1" applyFont="1" applyBorder="1" applyAlignment="1">
      <alignment horizontal="left"/>
    </xf>
    <xf numFmtId="1" fontId="24" fillId="0" borderId="4" xfId="0" applyNumberFormat="1" applyFont="1" applyFill="1" applyBorder="1" applyAlignment="1">
      <alignment horizontal="left"/>
    </xf>
    <xf numFmtId="1" fontId="47" fillId="0" borderId="64" xfId="0" applyNumberFormat="1" applyFont="1" applyFill="1" applyBorder="1" applyAlignment="1">
      <alignment horizontal="left"/>
    </xf>
    <xf numFmtId="1" fontId="46" fillId="0" borderId="62" xfId="0" applyNumberFormat="1" applyFont="1" applyBorder="1" applyAlignment="1">
      <alignment horizontal="left"/>
    </xf>
    <xf numFmtId="1" fontId="46" fillId="0" borderId="71" xfId="0" applyNumberFormat="1" applyFont="1" applyBorder="1" applyAlignment="1">
      <alignment horizontal="left"/>
    </xf>
    <xf numFmtId="1" fontId="46" fillId="0" borderId="66" xfId="0" applyNumberFormat="1" applyFont="1" applyBorder="1" applyAlignment="1">
      <alignment horizontal="left"/>
    </xf>
    <xf numFmtId="1" fontId="46" fillId="0" borderId="60" xfId="0" applyNumberFormat="1" applyFont="1" applyBorder="1" applyAlignment="1">
      <alignment horizontal="left"/>
    </xf>
    <xf numFmtId="1" fontId="46" fillId="0" borderId="61" xfId="0" applyNumberFormat="1" applyFont="1" applyBorder="1" applyAlignment="1">
      <alignment horizontal="left"/>
    </xf>
    <xf numFmtId="1" fontId="46" fillId="0" borderId="59" xfId="0" applyNumberFormat="1" applyFont="1" applyBorder="1" applyAlignment="1">
      <alignment horizontal="left"/>
    </xf>
    <xf numFmtId="1" fontId="46" fillId="0" borderId="0" xfId="0" applyNumberFormat="1" applyFont="1" applyAlignment="1">
      <alignment horizontal="left"/>
    </xf>
    <xf numFmtId="1" fontId="47" fillId="0" borderId="62" xfId="0" applyNumberFormat="1" applyFont="1" applyBorder="1" applyAlignment="1">
      <alignment horizontal="left" vertical="center"/>
    </xf>
    <xf numFmtId="1" fontId="47" fillId="0" borderId="59" xfId="0" applyNumberFormat="1" applyFont="1" applyBorder="1" applyAlignment="1">
      <alignment horizontal="left" vertical="center"/>
    </xf>
    <xf numFmtId="1" fontId="47" fillId="0" borderId="60" xfId="0" applyNumberFormat="1" applyFont="1" applyBorder="1" applyAlignment="1">
      <alignment horizontal="left" vertical="center"/>
    </xf>
    <xf numFmtId="1" fontId="24" fillId="0" borderId="1" xfId="2" applyNumberFormat="1" applyFont="1" applyBorder="1" applyAlignment="1">
      <alignment horizontal="left"/>
    </xf>
    <xf numFmtId="1" fontId="24" fillId="0" borderId="3" xfId="2" applyNumberFormat="1" applyFont="1" applyBorder="1" applyAlignment="1">
      <alignment horizontal="left"/>
    </xf>
    <xf numFmtId="1" fontId="24" fillId="0" borderId="17" xfId="2" applyNumberFormat="1" applyFont="1" applyBorder="1" applyAlignment="1">
      <alignment horizontal="left"/>
    </xf>
    <xf numFmtId="1" fontId="24" fillId="0" borderId="20" xfId="2" applyNumberFormat="1" applyFont="1" applyBorder="1" applyAlignment="1">
      <alignment horizontal="left"/>
    </xf>
    <xf numFmtId="1" fontId="24" fillId="0" borderId="22" xfId="2" applyNumberFormat="1" applyFont="1" applyBorder="1" applyAlignment="1">
      <alignment horizontal="left"/>
    </xf>
    <xf numFmtId="0" fontId="4" fillId="0" borderId="41" xfId="0" applyFont="1" applyBorder="1" applyAlignment="1">
      <alignment horizontal="left"/>
    </xf>
    <xf numFmtId="0" fontId="7" fillId="0" borderId="73" xfId="0" applyFont="1" applyBorder="1"/>
    <xf numFmtId="0" fontId="7" fillId="0" borderId="74" xfId="0" applyFont="1" applyBorder="1"/>
    <xf numFmtId="0" fontId="7" fillId="0" borderId="41" xfId="0" applyFont="1" applyBorder="1"/>
    <xf numFmtId="0" fontId="43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" fillId="0" borderId="73" xfId="0" applyFont="1" applyBorder="1" applyAlignment="1">
      <alignment horizontal="left"/>
    </xf>
    <xf numFmtId="0" fontId="18" fillId="0" borderId="17" xfId="0" applyFont="1" applyBorder="1" applyAlignment="1">
      <alignment horizontal="left"/>
    </xf>
    <xf numFmtId="0" fontId="33" fillId="0" borderId="55" xfId="0" applyFont="1" applyBorder="1" applyAlignment="1">
      <alignment horizontal="left"/>
    </xf>
    <xf numFmtId="0" fontId="7" fillId="0" borderId="70" xfId="0" applyFont="1" applyBorder="1"/>
    <xf numFmtId="0" fontId="34" fillId="0" borderId="75" xfId="0" applyFont="1" applyBorder="1"/>
    <xf numFmtId="0" fontId="7" fillId="0" borderId="16" xfId="0" applyFont="1" applyBorder="1"/>
    <xf numFmtId="0" fontId="7" fillId="0" borderId="48" xfId="0" applyFont="1" applyBorder="1"/>
    <xf numFmtId="2" fontId="15" fillId="0" borderId="12" xfId="0" applyNumberFormat="1" applyFont="1" applyBorder="1" applyAlignment="1">
      <alignment horizontal="left"/>
    </xf>
    <xf numFmtId="2" fontId="15" fillId="0" borderId="75" xfId="0" applyNumberFormat="1" applyFont="1" applyBorder="1" applyAlignment="1">
      <alignment horizontal="left" vertical="center"/>
    </xf>
    <xf numFmtId="2" fontId="20" fillId="0" borderId="16" xfId="0" applyNumberFormat="1" applyFont="1" applyBorder="1" applyAlignment="1">
      <alignment horizontal="left"/>
    </xf>
    <xf numFmtId="2" fontId="47" fillId="0" borderId="16" xfId="0" applyNumberFormat="1" applyFont="1" applyBorder="1" applyAlignment="1">
      <alignment horizontal="left"/>
    </xf>
    <xf numFmtId="2" fontId="20" fillId="0" borderId="31" xfId="0" applyNumberFormat="1" applyFont="1" applyBorder="1" applyAlignment="1">
      <alignment horizontal="left"/>
    </xf>
    <xf numFmtId="2" fontId="47" fillId="0" borderId="59" xfId="0" applyNumberFormat="1" applyFont="1" applyBorder="1" applyAlignment="1">
      <alignment horizontal="left"/>
    </xf>
    <xf numFmtId="2" fontId="14" fillId="0" borderId="13" xfId="2" applyNumberFormat="1" applyFont="1" applyBorder="1" applyAlignment="1">
      <alignment horizontal="left"/>
    </xf>
    <xf numFmtId="2" fontId="14" fillId="0" borderId="57" xfId="2" applyNumberFormat="1" applyFont="1" applyBorder="1" applyAlignment="1">
      <alignment horizontal="left"/>
    </xf>
    <xf numFmtId="0" fontId="48" fillId="0" borderId="69" xfId="0" applyFont="1" applyBorder="1" applyAlignment="1">
      <alignment horizontal="left"/>
    </xf>
    <xf numFmtId="0" fontId="24" fillId="0" borderId="0" xfId="0" applyFont="1"/>
    <xf numFmtId="0" fontId="37" fillId="0" borderId="62" xfId="0" applyFont="1" applyBorder="1" applyAlignment="1">
      <alignment horizontal="justify" vertical="justify" wrapText="1"/>
    </xf>
    <xf numFmtId="0" fontId="37" fillId="0" borderId="66" xfId="0" applyFont="1" applyBorder="1" applyAlignment="1">
      <alignment horizontal="justify" vertical="justify" wrapText="1"/>
    </xf>
    <xf numFmtId="0" fontId="25" fillId="0" borderId="7" xfId="0" applyFont="1" applyBorder="1" applyAlignment="1">
      <alignment horizontal="left"/>
    </xf>
    <xf numFmtId="0" fontId="24" fillId="0" borderId="33" xfId="0" applyFont="1" applyBorder="1" applyAlignment="1">
      <alignment horizontal="left"/>
    </xf>
    <xf numFmtId="0" fontId="24" fillId="0" borderId="7" xfId="0" applyFont="1" applyBorder="1" applyAlignment="1">
      <alignment horizontal="left"/>
    </xf>
    <xf numFmtId="0" fontId="24" fillId="0" borderId="9" xfId="0" applyFont="1" applyBorder="1" applyAlignment="1">
      <alignment horizontal="left"/>
    </xf>
    <xf numFmtId="0" fontId="24" fillId="0" borderId="8" xfId="0" applyFont="1" applyBorder="1" applyAlignment="1">
      <alignment horizontal="left"/>
    </xf>
    <xf numFmtId="0" fontId="24" fillId="0" borderId="9" xfId="0" applyFont="1" applyBorder="1"/>
    <xf numFmtId="0" fontId="24" fillId="0" borderId="8" xfId="0" applyFont="1" applyBorder="1"/>
    <xf numFmtId="1" fontId="24" fillId="0" borderId="9" xfId="0" applyNumberFormat="1" applyFont="1" applyBorder="1"/>
    <xf numFmtId="0" fontId="49" fillId="0" borderId="34" xfId="0" applyFont="1" applyBorder="1" applyAlignment="1">
      <alignment horizontal="left"/>
    </xf>
    <xf numFmtId="0" fontId="49" fillId="0" borderId="1" xfId="0" applyFont="1" applyBorder="1" applyAlignment="1">
      <alignment horizontal="left"/>
    </xf>
    <xf numFmtId="0" fontId="24" fillId="0" borderId="14" xfId="0" applyFont="1" applyBorder="1" applyAlignment="1">
      <alignment horizontal="left"/>
    </xf>
    <xf numFmtId="0" fontId="24" fillId="0" borderId="4" xfId="0" applyFont="1" applyBorder="1" applyAlignment="1">
      <alignment horizontal="left"/>
    </xf>
    <xf numFmtId="0" fontId="24" fillId="0" borderId="3" xfId="0" applyFont="1" applyBorder="1"/>
    <xf numFmtId="0" fontId="24" fillId="0" borderId="4" xfId="0" applyFont="1" applyBorder="1"/>
    <xf numFmtId="1" fontId="24" fillId="0" borderId="3" xfId="0" applyNumberFormat="1" applyFont="1" applyBorder="1"/>
    <xf numFmtId="3" fontId="17" fillId="0" borderId="14" xfId="0" applyNumberFormat="1" applyFont="1" applyBorder="1" applyAlignment="1">
      <alignment horizontal="left"/>
    </xf>
    <xf numFmtId="0" fontId="45" fillId="0" borderId="1" xfId="0" applyFont="1" applyBorder="1" applyAlignment="1">
      <alignment horizontal="left"/>
    </xf>
    <xf numFmtId="0" fontId="45" fillId="0" borderId="14" xfId="0" applyFont="1" applyBorder="1" applyAlignment="1">
      <alignment horizontal="left"/>
    </xf>
    <xf numFmtId="3" fontId="45" fillId="0" borderId="14" xfId="0" applyNumberFormat="1" applyFont="1" applyBorder="1" applyAlignment="1">
      <alignment horizontal="left"/>
    </xf>
    <xf numFmtId="3" fontId="45" fillId="0" borderId="1" xfId="0" applyNumberFormat="1" applyFont="1" applyBorder="1" applyAlignment="1">
      <alignment horizontal="left"/>
    </xf>
    <xf numFmtId="0" fontId="45" fillId="0" borderId="3" xfId="0" applyFont="1" applyBorder="1" applyAlignment="1">
      <alignment horizontal="left"/>
    </xf>
    <xf numFmtId="0" fontId="45" fillId="0" borderId="4" xfId="0" applyFont="1" applyBorder="1" applyAlignment="1">
      <alignment horizontal="left"/>
    </xf>
    <xf numFmtId="0" fontId="45" fillId="0" borderId="3" xfId="0" applyFont="1" applyBorder="1"/>
    <xf numFmtId="0" fontId="45" fillId="0" borderId="4" xfId="0" applyFont="1" applyBorder="1"/>
    <xf numFmtId="3" fontId="45" fillId="0" borderId="17" xfId="0" applyNumberFormat="1" applyFont="1" applyBorder="1" applyAlignment="1">
      <alignment horizontal="left"/>
    </xf>
    <xf numFmtId="1" fontId="45" fillId="0" borderId="1" xfId="0" applyNumberFormat="1" applyFont="1" applyBorder="1" applyAlignment="1">
      <alignment horizontal="left"/>
    </xf>
    <xf numFmtId="0" fontId="45" fillId="0" borderId="0" xfId="0" applyFont="1"/>
    <xf numFmtId="0" fontId="25" fillId="0" borderId="1" xfId="0" applyFont="1" applyBorder="1" applyAlignment="1">
      <alignment horizontal="left"/>
    </xf>
    <xf numFmtId="0" fontId="24" fillId="0" borderId="17" xfId="0" applyFont="1" applyBorder="1" applyAlignment="1">
      <alignment horizontal="left"/>
    </xf>
    <xf numFmtId="0" fontId="45" fillId="0" borderId="17" xfId="0" applyFont="1" applyBorder="1" applyAlignment="1">
      <alignment horizontal="left"/>
    </xf>
    <xf numFmtId="1" fontId="45" fillId="0" borderId="3" xfId="0" applyNumberFormat="1" applyFont="1" applyBorder="1" applyAlignment="1">
      <alignment horizontal="left"/>
    </xf>
    <xf numFmtId="0" fontId="22" fillId="0" borderId="14" xfId="0" applyFont="1" applyBorder="1" applyAlignment="1">
      <alignment horizontal="left"/>
    </xf>
    <xf numFmtId="0" fontId="22" fillId="0" borderId="1" xfId="0" applyFont="1" applyBorder="1" applyAlignment="1">
      <alignment horizontal="left"/>
    </xf>
    <xf numFmtId="3" fontId="25" fillId="0" borderId="14" xfId="0" applyNumberFormat="1" applyFont="1" applyBorder="1" applyAlignment="1">
      <alignment horizontal="left"/>
    </xf>
    <xf numFmtId="3" fontId="25" fillId="0" borderId="1" xfId="0" applyNumberFormat="1" applyFont="1" applyBorder="1" applyAlignment="1">
      <alignment horizontal="left"/>
    </xf>
    <xf numFmtId="0" fontId="22" fillId="0" borderId="3" xfId="0" applyFont="1" applyBorder="1" applyAlignment="1">
      <alignment horizontal="left"/>
    </xf>
    <xf numFmtId="0" fontId="22" fillId="0" borderId="4" xfId="0" applyFont="1" applyBorder="1" applyAlignment="1">
      <alignment horizontal="left"/>
    </xf>
    <xf numFmtId="0" fontId="22" fillId="0" borderId="3" xfId="0" applyFont="1" applyBorder="1"/>
    <xf numFmtId="0" fontId="22" fillId="0" borderId="4" xfId="0" applyFont="1" applyBorder="1"/>
    <xf numFmtId="0" fontId="22" fillId="0" borderId="17" xfId="0" applyFont="1" applyBorder="1" applyAlignment="1">
      <alignment horizontal="left"/>
    </xf>
    <xf numFmtId="0" fontId="22" fillId="0" borderId="0" xfId="0" applyFont="1"/>
    <xf numFmtId="0" fontId="17" fillId="0" borderId="20" xfId="0" applyFont="1" applyBorder="1" applyAlignment="1">
      <alignment horizontal="left"/>
    </xf>
    <xf numFmtId="0" fontId="24" fillId="0" borderId="24" xfId="0" applyFont="1" applyBorder="1" applyAlignment="1">
      <alignment horizontal="left"/>
    </xf>
    <xf numFmtId="0" fontId="24" fillId="0" borderId="20" xfId="0" applyFont="1" applyBorder="1" applyAlignment="1">
      <alignment horizontal="left"/>
    </xf>
    <xf numFmtId="3" fontId="17" fillId="0" borderId="24" xfId="0" applyNumberFormat="1" applyFont="1" applyBorder="1" applyAlignment="1">
      <alignment horizontal="left"/>
    </xf>
    <xf numFmtId="3" fontId="17" fillId="0" borderId="20" xfId="0" applyNumberFormat="1" applyFont="1" applyBorder="1" applyAlignment="1">
      <alignment horizontal="left"/>
    </xf>
    <xf numFmtId="0" fontId="24" fillId="0" borderId="22" xfId="0" applyFont="1" applyBorder="1" applyAlignment="1">
      <alignment horizontal="left"/>
    </xf>
    <xf numFmtId="0" fontId="24" fillId="0" borderId="23" xfId="0" applyFont="1" applyBorder="1" applyAlignment="1">
      <alignment horizontal="left"/>
    </xf>
    <xf numFmtId="0" fontId="24" fillId="0" borderId="22" xfId="0" applyFont="1" applyBorder="1"/>
    <xf numFmtId="0" fontId="24" fillId="0" borderId="23" xfId="0" applyFont="1" applyBorder="1"/>
    <xf numFmtId="0" fontId="45" fillId="0" borderId="62" xfId="0" applyFont="1" applyBorder="1" applyAlignment="1">
      <alignment horizontal="left"/>
    </xf>
    <xf numFmtId="0" fontId="45" fillId="0" borderId="71" xfId="0" applyFont="1" applyBorder="1" applyAlignment="1">
      <alignment horizontal="left"/>
    </xf>
    <xf numFmtId="0" fontId="45" fillId="0" borderId="66" xfId="0" applyFont="1" applyBorder="1" applyAlignment="1">
      <alignment horizontal="left"/>
    </xf>
    <xf numFmtId="0" fontId="45" fillId="0" borderId="60" xfId="0" applyFont="1" applyBorder="1" applyAlignment="1">
      <alignment horizontal="left"/>
    </xf>
    <xf numFmtId="0" fontId="45" fillId="0" borderId="66" xfId="0" applyFont="1" applyBorder="1"/>
    <xf numFmtId="0" fontId="45" fillId="0" borderId="60" xfId="0" applyFont="1" applyBorder="1"/>
    <xf numFmtId="3" fontId="45" fillId="0" borderId="62" xfId="0" applyNumberFormat="1" applyFont="1" applyBorder="1" applyAlignment="1">
      <alignment horizontal="left"/>
    </xf>
    <xf numFmtId="3" fontId="45" fillId="0" borderId="63" xfId="0" applyNumberFormat="1" applyFont="1" applyBorder="1" applyAlignment="1">
      <alignment horizontal="left"/>
    </xf>
    <xf numFmtId="1" fontId="45" fillId="0" borderId="66" xfId="0" applyNumberFormat="1" applyFont="1" applyBorder="1" applyAlignment="1">
      <alignment horizontal="left"/>
    </xf>
    <xf numFmtId="0" fontId="25" fillId="0" borderId="69" xfId="0" applyFont="1" applyBorder="1" applyAlignment="1">
      <alignment horizontal="left"/>
    </xf>
    <xf numFmtId="0" fontId="37" fillId="0" borderId="64" xfId="0" applyFont="1" applyBorder="1" applyAlignment="1">
      <alignment horizontal="justify" vertical="justify" wrapText="1"/>
    </xf>
    <xf numFmtId="0" fontId="37" fillId="0" borderId="0" xfId="0" applyFont="1" applyAlignment="1">
      <alignment horizontal="justify" vertical="justify" wrapText="1"/>
    </xf>
    <xf numFmtId="3" fontId="17" fillId="0" borderId="9" xfId="0" applyNumberFormat="1" applyFont="1" applyBorder="1" applyAlignment="1">
      <alignment horizontal="left"/>
    </xf>
    <xf numFmtId="3" fontId="17" fillId="0" borderId="8" xfId="0" applyNumberFormat="1" applyFont="1" applyBorder="1" applyAlignment="1">
      <alignment horizontal="left"/>
    </xf>
    <xf numFmtId="3" fontId="24" fillId="0" borderId="8" xfId="0" applyNumberFormat="1" applyFont="1" applyBorder="1" applyAlignment="1">
      <alignment horizontal="left"/>
    </xf>
    <xf numFmtId="3" fontId="24" fillId="0" borderId="9" xfId="0" applyNumberFormat="1" applyFont="1" applyBorder="1" applyAlignment="1">
      <alignment horizontal="left"/>
    </xf>
    <xf numFmtId="3" fontId="24" fillId="0" borderId="4" xfId="0" applyNumberFormat="1" applyFont="1" applyBorder="1" applyAlignment="1">
      <alignment horizontal="left"/>
    </xf>
    <xf numFmtId="3" fontId="17" fillId="0" borderId="3" xfId="0" applyNumberFormat="1" applyFont="1" applyBorder="1" applyAlignment="1">
      <alignment horizontal="left"/>
    </xf>
    <xf numFmtId="3" fontId="17" fillId="0" borderId="4" xfId="0" applyNumberFormat="1" applyFont="1" applyBorder="1" applyAlignment="1">
      <alignment horizontal="left"/>
    </xf>
    <xf numFmtId="165" fontId="17" fillId="0" borderId="3" xfId="0" applyNumberFormat="1" applyFont="1" applyBorder="1" applyAlignment="1">
      <alignment horizontal="left"/>
    </xf>
    <xf numFmtId="165" fontId="17" fillId="0" borderId="4" xfId="0" applyNumberFormat="1" applyFont="1" applyBorder="1" applyAlignment="1">
      <alignment horizontal="left"/>
    </xf>
    <xf numFmtId="0" fontId="17" fillId="0" borderId="3" xfId="0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3" fontId="45" fillId="0" borderId="3" xfId="0" applyNumberFormat="1" applyFont="1" applyBorder="1" applyAlignment="1">
      <alignment horizontal="left"/>
    </xf>
    <xf numFmtId="3" fontId="45" fillId="0" borderId="4" xfId="0" applyNumberFormat="1" applyFont="1" applyBorder="1" applyAlignment="1">
      <alignment horizontal="left"/>
    </xf>
    <xf numFmtId="3" fontId="50" fillId="0" borderId="8" xfId="0" applyNumberFormat="1" applyFont="1" applyBorder="1" applyAlignment="1">
      <alignment horizontal="left"/>
    </xf>
    <xf numFmtId="3" fontId="50" fillId="0" borderId="9" xfId="0" applyNumberFormat="1" applyFont="1" applyBorder="1" applyAlignment="1">
      <alignment horizontal="left"/>
    </xf>
    <xf numFmtId="3" fontId="50" fillId="0" borderId="4" xfId="0" applyNumberFormat="1" applyFont="1" applyBorder="1" applyAlignment="1">
      <alignment horizontal="left"/>
    </xf>
    <xf numFmtId="0" fontId="50" fillId="0" borderId="1" xfId="0" applyFont="1" applyBorder="1" applyAlignment="1">
      <alignment horizontal="left"/>
    </xf>
    <xf numFmtId="3" fontId="50" fillId="0" borderId="3" xfId="0" applyNumberFormat="1" applyFont="1" applyBorder="1" applyAlignment="1">
      <alignment horizontal="left"/>
    </xf>
    <xf numFmtId="0" fontId="45" fillId="0" borderId="0" xfId="0" applyFont="1" applyAlignment="1">
      <alignment horizontal="left"/>
    </xf>
    <xf numFmtId="0" fontId="22" fillId="0" borderId="34" xfId="0" applyFont="1" applyBorder="1" applyAlignment="1">
      <alignment horizontal="left"/>
    </xf>
    <xf numFmtId="0" fontId="41" fillId="0" borderId="4" xfId="0" applyFont="1" applyBorder="1" applyAlignment="1">
      <alignment horizontal="left"/>
    </xf>
    <xf numFmtId="3" fontId="25" fillId="0" borderId="3" xfId="0" applyNumberFormat="1" applyFont="1" applyBorder="1" applyAlignment="1">
      <alignment horizontal="left"/>
    </xf>
    <xf numFmtId="3" fontId="25" fillId="0" borderId="4" xfId="0" applyNumberFormat="1" applyFont="1" applyBorder="1" applyAlignment="1">
      <alignment horizontal="left"/>
    </xf>
    <xf numFmtId="3" fontId="22" fillId="0" borderId="4" xfId="0" applyNumberFormat="1" applyFont="1" applyBorder="1" applyAlignment="1">
      <alignment horizontal="left"/>
    </xf>
    <xf numFmtId="0" fontId="43" fillId="0" borderId="34" xfId="0" applyFont="1" applyBorder="1" applyAlignment="1">
      <alignment horizontal="left"/>
    </xf>
    <xf numFmtId="0" fontId="43" fillId="0" borderId="1" xfId="0" applyFont="1" applyBorder="1" applyAlignment="1">
      <alignment horizontal="left"/>
    </xf>
    <xf numFmtId="3" fontId="43" fillId="0" borderId="3" xfId="0" applyNumberFormat="1" applyFont="1" applyBorder="1" applyAlignment="1">
      <alignment horizontal="left"/>
    </xf>
    <xf numFmtId="3" fontId="43" fillId="0" borderId="4" xfId="0" applyNumberFormat="1" applyFont="1" applyBorder="1" applyAlignment="1">
      <alignment horizontal="left"/>
    </xf>
    <xf numFmtId="0" fontId="43" fillId="0" borderId="3" xfId="0" applyFont="1" applyBorder="1" applyAlignment="1">
      <alignment horizontal="left"/>
    </xf>
    <xf numFmtId="3" fontId="43" fillId="0" borderId="8" xfId="0" applyNumberFormat="1" applyFont="1" applyBorder="1" applyAlignment="1">
      <alignment horizontal="left"/>
    </xf>
    <xf numFmtId="3" fontId="43" fillId="0" borderId="9" xfId="0" applyNumberFormat="1" applyFont="1" applyBorder="1" applyAlignment="1">
      <alignment horizontal="left"/>
    </xf>
    <xf numFmtId="0" fontId="43" fillId="0" borderId="14" xfId="0" applyFont="1" applyBorder="1" applyAlignment="1">
      <alignment horizontal="left"/>
    </xf>
    <xf numFmtId="0" fontId="51" fillId="0" borderId="3" xfId="0" applyFont="1" applyBorder="1" applyAlignment="1">
      <alignment horizontal="left"/>
    </xf>
    <xf numFmtId="0" fontId="51" fillId="0" borderId="4" xfId="0" applyFont="1" applyBorder="1" applyAlignment="1">
      <alignment horizontal="left"/>
    </xf>
    <xf numFmtId="0" fontId="3" fillId="0" borderId="64" xfId="0" applyFont="1" applyBorder="1" applyAlignment="1">
      <alignment horizontal="left"/>
    </xf>
    <xf numFmtId="0" fontId="3" fillId="0" borderId="62" xfId="0" applyFont="1" applyBorder="1" applyAlignment="1">
      <alignment horizontal="left"/>
    </xf>
    <xf numFmtId="3" fontId="3" fillId="0" borderId="66" xfId="0" applyNumberFormat="1" applyFont="1" applyBorder="1" applyAlignment="1">
      <alignment horizontal="left"/>
    </xf>
    <xf numFmtId="3" fontId="3" fillId="0" borderId="60" xfId="0" applyNumberFormat="1" applyFont="1" applyBorder="1" applyAlignment="1">
      <alignment horizontal="left"/>
    </xf>
    <xf numFmtId="0" fontId="10" fillId="0" borderId="66" xfId="0" applyFont="1" applyBorder="1" applyAlignment="1">
      <alignment horizontal="left"/>
    </xf>
    <xf numFmtId="0" fontId="10" fillId="0" borderId="60" xfId="0" applyFont="1" applyBorder="1" applyAlignment="1">
      <alignment horizontal="left"/>
    </xf>
    <xf numFmtId="3" fontId="10" fillId="0" borderId="8" xfId="0" applyNumberFormat="1" applyFont="1" applyBorder="1" applyAlignment="1">
      <alignment horizontal="left"/>
    </xf>
    <xf numFmtId="3" fontId="10" fillId="0" borderId="9" xfId="0" applyNumberFormat="1" applyFont="1" applyBorder="1" applyAlignment="1">
      <alignment horizontal="left"/>
    </xf>
    <xf numFmtId="3" fontId="10" fillId="0" borderId="60" xfId="0" applyNumberFormat="1" applyFont="1" applyBorder="1" applyAlignment="1">
      <alignment horizontal="left"/>
    </xf>
    <xf numFmtId="0" fontId="10" fillId="0" borderId="71" xfId="0" applyFont="1" applyBorder="1" applyAlignment="1">
      <alignment horizontal="left"/>
    </xf>
    <xf numFmtId="0" fontId="10" fillId="0" borderId="62" xfId="0" applyFont="1" applyBorder="1" applyAlignment="1">
      <alignment horizontal="left"/>
    </xf>
    <xf numFmtId="3" fontId="10" fillId="0" borderId="66" xfId="0" applyNumberFormat="1" applyFont="1" applyBorder="1" applyAlignment="1">
      <alignment horizontal="left"/>
    </xf>
    <xf numFmtId="0" fontId="21" fillId="0" borderId="0" xfId="0" applyFont="1"/>
    <xf numFmtId="0" fontId="39" fillId="0" borderId="64" xfId="0" applyFont="1" applyFill="1" applyBorder="1" applyAlignment="1">
      <alignment horizontal="left" vertical="justify" wrapText="1"/>
    </xf>
    <xf numFmtId="0" fontId="39" fillId="0" borderId="59" xfId="0" applyFont="1" applyFill="1" applyBorder="1" applyAlignment="1">
      <alignment horizontal="left" vertical="justify" wrapText="1"/>
    </xf>
    <xf numFmtId="0" fontId="20" fillId="0" borderId="8" xfId="0" applyFont="1" applyBorder="1"/>
    <xf numFmtId="0" fontId="20" fillId="0" borderId="33" xfId="0" applyFont="1" applyBorder="1"/>
    <xf numFmtId="0" fontId="20" fillId="0" borderId="7" xfId="0" applyFont="1" applyBorder="1"/>
    <xf numFmtId="0" fontId="20" fillId="0" borderId="9" xfId="0" applyFont="1" applyBorder="1"/>
    <xf numFmtId="0" fontId="20" fillId="0" borderId="4" xfId="0" applyFont="1" applyBorder="1"/>
    <xf numFmtId="0" fontId="20" fillId="0" borderId="14" xfId="0" applyFont="1" applyBorder="1"/>
    <xf numFmtId="0" fontId="20" fillId="0" borderId="1" xfId="0" applyFont="1" applyBorder="1"/>
    <xf numFmtId="0" fontId="20" fillId="0" borderId="3" xfId="0" applyFont="1" applyBorder="1"/>
    <xf numFmtId="0" fontId="20" fillId="0" borderId="4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0" fillId="0" borderId="19" xfId="0" applyFont="1" applyBorder="1"/>
    <xf numFmtId="0" fontId="21" fillId="0" borderId="4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1" xfId="0" applyFont="1" applyBorder="1"/>
    <xf numFmtId="0" fontId="21" fillId="0" borderId="3" xfId="0" applyFont="1" applyBorder="1"/>
    <xf numFmtId="0" fontId="21" fillId="0" borderId="4" xfId="0" applyFont="1" applyBorder="1"/>
    <xf numFmtId="0" fontId="21" fillId="0" borderId="14" xfId="0" applyFont="1" applyBorder="1"/>
    <xf numFmtId="0" fontId="47" fillId="0" borderId="4" xfId="0" applyFont="1" applyBorder="1" applyAlignment="1">
      <alignment horizontal="center"/>
    </xf>
    <xf numFmtId="0" fontId="47" fillId="0" borderId="14" xfId="0" applyFont="1" applyBorder="1" applyAlignment="1">
      <alignment horizontal="center"/>
    </xf>
    <xf numFmtId="0" fontId="47" fillId="0" borderId="1" xfId="0" applyFont="1" applyBorder="1"/>
    <xf numFmtId="0" fontId="47" fillId="0" borderId="14" xfId="0" applyFont="1" applyBorder="1"/>
    <xf numFmtId="0" fontId="47" fillId="0" borderId="3" xfId="0" applyFont="1" applyBorder="1"/>
    <xf numFmtId="0" fontId="47" fillId="0" borderId="4" xfId="0" applyFont="1" applyBorder="1"/>
    <xf numFmtId="0" fontId="47" fillId="0" borderId="0" xfId="0" applyFont="1"/>
    <xf numFmtId="0" fontId="38" fillId="0" borderId="55" xfId="0" applyFont="1" applyBorder="1"/>
    <xf numFmtId="0" fontId="45" fillId="0" borderId="35" xfId="0" applyFont="1" applyBorder="1" applyAlignment="1">
      <alignment horizontal="left"/>
    </xf>
    <xf numFmtId="0" fontId="45" fillId="0" borderId="20" xfId="0" applyFont="1" applyBorder="1" applyAlignment="1">
      <alignment horizontal="left"/>
    </xf>
    <xf numFmtId="3" fontId="45" fillId="0" borderId="22" xfId="0" applyNumberFormat="1" applyFont="1" applyBorder="1" applyAlignment="1">
      <alignment horizontal="left"/>
    </xf>
    <xf numFmtId="3" fontId="45" fillId="0" borderId="23" xfId="0" applyNumberFormat="1" applyFont="1" applyBorder="1" applyAlignment="1">
      <alignment horizontal="left"/>
    </xf>
    <xf numFmtId="0" fontId="45" fillId="0" borderId="22" xfId="0" applyFont="1" applyBorder="1" applyAlignment="1">
      <alignment horizontal="left"/>
    </xf>
    <xf numFmtId="0" fontId="45" fillId="0" borderId="23" xfId="0" applyFont="1" applyBorder="1" applyAlignment="1">
      <alignment horizontal="left"/>
    </xf>
    <xf numFmtId="3" fontId="45" fillId="0" borderId="8" xfId="0" applyNumberFormat="1" applyFont="1" applyBorder="1" applyAlignment="1">
      <alignment horizontal="left"/>
    </xf>
    <xf numFmtId="3" fontId="45" fillId="0" borderId="9" xfId="0" applyNumberFormat="1" applyFont="1" applyBorder="1" applyAlignment="1">
      <alignment horizontal="left"/>
    </xf>
    <xf numFmtId="0" fontId="45" fillId="0" borderId="24" xfId="0" applyFont="1" applyBorder="1" applyAlignment="1">
      <alignment horizontal="left"/>
    </xf>
    <xf numFmtId="2" fontId="20" fillId="0" borderId="6" xfId="0" applyNumberFormat="1" applyFont="1" applyBorder="1" applyAlignment="1">
      <alignment horizontal="left"/>
    </xf>
    <xf numFmtId="0" fontId="23" fillId="0" borderId="6" xfId="0" applyFont="1" applyBorder="1" applyAlignment="1">
      <alignment horizontal="left"/>
    </xf>
    <xf numFmtId="1" fontId="15" fillId="0" borderId="2" xfId="0" applyNumberFormat="1" applyFont="1" applyBorder="1" applyAlignment="1">
      <alignment horizontal="left" vertical="center"/>
    </xf>
    <xf numFmtId="1" fontId="21" fillId="0" borderId="1" xfId="0" applyNumberFormat="1" applyFont="1" applyBorder="1" applyAlignment="1">
      <alignment horizontal="left"/>
    </xf>
    <xf numFmtId="3" fontId="23" fillId="0" borderId="1" xfId="0" applyNumberFormat="1" applyFont="1" applyBorder="1" applyAlignment="1">
      <alignment horizontal="left"/>
    </xf>
    <xf numFmtId="3" fontId="23" fillId="0" borderId="3" xfId="0" applyNumberFormat="1" applyFont="1" applyBorder="1" applyAlignment="1">
      <alignment horizontal="left"/>
    </xf>
    <xf numFmtId="1" fontId="15" fillId="0" borderId="14" xfId="0" applyNumberFormat="1" applyFont="1" applyFill="1" applyBorder="1" applyAlignment="1">
      <alignment horizontal="left"/>
    </xf>
    <xf numFmtId="1" fontId="15" fillId="0" borderId="1" xfId="1" applyNumberFormat="1" applyFont="1" applyBorder="1" applyAlignment="1">
      <alignment horizontal="left"/>
    </xf>
    <xf numFmtId="1" fontId="15" fillId="0" borderId="3" xfId="1" applyNumberFormat="1" applyFont="1" applyBorder="1" applyAlignment="1">
      <alignment horizontal="left"/>
    </xf>
    <xf numFmtId="0" fontId="45" fillId="0" borderId="16" xfId="0" applyFont="1" applyBorder="1" applyAlignment="1">
      <alignment horizontal="left"/>
    </xf>
    <xf numFmtId="1" fontId="44" fillId="0" borderId="1" xfId="0" applyNumberFormat="1" applyFont="1" applyBorder="1" applyAlignment="1">
      <alignment horizontal="left"/>
    </xf>
    <xf numFmtId="1" fontId="44" fillId="0" borderId="3" xfId="0" applyNumberFormat="1" applyFont="1" applyBorder="1" applyAlignment="1">
      <alignment horizontal="left"/>
    </xf>
    <xf numFmtId="1" fontId="44" fillId="0" borderId="4" xfId="0" applyNumberFormat="1" applyFont="1" applyBorder="1" applyAlignment="1">
      <alignment horizontal="left"/>
    </xf>
    <xf numFmtId="1" fontId="44" fillId="0" borderId="2" xfId="0" applyNumberFormat="1" applyFont="1" applyBorder="1" applyAlignment="1">
      <alignment horizontal="left"/>
    </xf>
    <xf numFmtId="1" fontId="44" fillId="0" borderId="14" xfId="0" applyNumberFormat="1" applyFont="1" applyBorder="1" applyAlignment="1">
      <alignment horizontal="left"/>
    </xf>
    <xf numFmtId="1" fontId="52" fillId="0" borderId="1" xfId="0" applyNumberFormat="1" applyFont="1" applyBorder="1" applyAlignment="1">
      <alignment horizontal="left"/>
    </xf>
    <xf numFmtId="1" fontId="52" fillId="0" borderId="3" xfId="0" applyNumberFormat="1" applyFont="1" applyBorder="1" applyAlignment="1">
      <alignment horizontal="left"/>
    </xf>
    <xf numFmtId="2" fontId="44" fillId="0" borderId="1" xfId="0" applyNumberFormat="1" applyFont="1" applyBorder="1" applyAlignment="1">
      <alignment horizontal="left" wrapText="1"/>
    </xf>
    <xf numFmtId="2" fontId="44" fillId="0" borderId="14" xfId="0" applyNumberFormat="1" applyFont="1" applyBorder="1" applyAlignment="1">
      <alignment horizontal="left"/>
    </xf>
    <xf numFmtId="3" fontId="44" fillId="0" borderId="1" xfId="0" applyNumberFormat="1" applyFont="1" applyBorder="1" applyAlignment="1">
      <alignment horizontal="left"/>
    </xf>
    <xf numFmtId="3" fontId="44" fillId="0" borderId="3" xfId="0" applyNumberFormat="1" applyFont="1" applyBorder="1" applyAlignment="1">
      <alignment horizontal="left"/>
    </xf>
    <xf numFmtId="1" fontId="44" fillId="0" borderId="4" xfId="0" applyNumberFormat="1" applyFont="1" applyFill="1" applyBorder="1" applyAlignment="1">
      <alignment horizontal="left"/>
    </xf>
    <xf numFmtId="1" fontId="44" fillId="0" borderId="14" xfId="0" applyNumberFormat="1" applyFont="1" applyFill="1" applyBorder="1" applyAlignment="1">
      <alignment horizontal="left"/>
    </xf>
    <xf numFmtId="1" fontId="44" fillId="0" borderId="1" xfId="1" applyNumberFormat="1" applyFont="1" applyBorder="1" applyAlignment="1">
      <alignment horizontal="left"/>
    </xf>
    <xf numFmtId="1" fontId="44" fillId="0" borderId="3" xfId="1" applyNumberFormat="1" applyFont="1" applyBorder="1" applyAlignment="1">
      <alignment horizontal="left"/>
    </xf>
    <xf numFmtId="1" fontId="43" fillId="0" borderId="7" xfId="0" applyNumberFormat="1" applyFont="1" applyBorder="1" applyAlignment="1">
      <alignment horizontal="left"/>
    </xf>
    <xf numFmtId="1" fontId="44" fillId="0" borderId="14" xfId="1" applyNumberFormat="1" applyFont="1" applyBorder="1" applyAlignment="1">
      <alignment horizontal="left"/>
    </xf>
    <xf numFmtId="1" fontId="43" fillId="0" borderId="10" xfId="0" applyNumberFormat="1" applyFont="1" applyBorder="1" applyAlignment="1">
      <alignment horizontal="left"/>
    </xf>
    <xf numFmtId="0" fontId="44" fillId="0" borderId="0" xfId="0" applyFont="1" applyAlignment="1">
      <alignment horizontal="left"/>
    </xf>
    <xf numFmtId="2" fontId="5" fillId="0" borderId="17" xfId="0" applyNumberFormat="1" applyFont="1" applyBorder="1" applyAlignment="1">
      <alignment horizontal="right"/>
    </xf>
    <xf numFmtId="0" fontId="47" fillId="0" borderId="54" xfId="0" applyFont="1" applyBorder="1"/>
    <xf numFmtId="0" fontId="47" fillId="0" borderId="57" xfId="0" applyFont="1" applyBorder="1"/>
    <xf numFmtId="0" fontId="47" fillId="0" borderId="13" xfId="0" applyFont="1" applyBorder="1"/>
    <xf numFmtId="0" fontId="47" fillId="0" borderId="12" xfId="0" applyFont="1" applyBorder="1"/>
    <xf numFmtId="0" fontId="23" fillId="0" borderId="59" xfId="0" applyFont="1" applyBorder="1" applyAlignment="1">
      <alignment horizontal="left"/>
    </xf>
    <xf numFmtId="0" fontId="23" fillId="0" borderId="32" xfId="0" applyFont="1" applyBorder="1" applyAlignment="1">
      <alignment horizontal="left"/>
    </xf>
    <xf numFmtId="0" fontId="23" fillId="0" borderId="16" xfId="0" applyFont="1" applyBorder="1" applyAlignment="1">
      <alignment horizontal="left"/>
    </xf>
    <xf numFmtId="0" fontId="43" fillId="0" borderId="16" xfId="0" applyFont="1" applyBorder="1" applyAlignment="1">
      <alignment horizontal="left"/>
    </xf>
    <xf numFmtId="0" fontId="43" fillId="0" borderId="48" xfId="0" applyFont="1" applyBorder="1" applyAlignment="1">
      <alignment horizontal="left"/>
    </xf>
    <xf numFmtId="1" fontId="24" fillId="0" borderId="18" xfId="0" applyNumberFormat="1" applyFont="1" applyFill="1" applyBorder="1" applyAlignment="1">
      <alignment horizontal="left"/>
    </xf>
    <xf numFmtId="1" fontId="3" fillId="0" borderId="3" xfId="0" applyNumberFormat="1" applyFont="1" applyBorder="1" applyAlignment="1">
      <alignment horizontal="left"/>
    </xf>
    <xf numFmtId="1" fontId="43" fillId="0" borderId="34" xfId="0" applyNumberFormat="1" applyFont="1" applyFill="1" applyBorder="1" applyAlignment="1">
      <alignment horizontal="left" vertical="top" wrapText="1"/>
    </xf>
    <xf numFmtId="1" fontId="43" fillId="0" borderId="1" xfId="0" applyNumberFormat="1" applyFont="1" applyBorder="1" applyAlignment="1">
      <alignment horizontal="left"/>
    </xf>
    <xf numFmtId="1" fontId="43" fillId="0" borderId="14" xfId="0" applyNumberFormat="1" applyFont="1" applyBorder="1" applyAlignment="1">
      <alignment horizontal="left"/>
    </xf>
    <xf numFmtId="1" fontId="43" fillId="0" borderId="3" xfId="0" applyNumberFormat="1" applyFont="1" applyBorder="1" applyAlignment="1">
      <alignment horizontal="left"/>
    </xf>
    <xf numFmtId="1" fontId="43" fillId="0" borderId="19" xfId="0" applyNumberFormat="1" applyFont="1" applyBorder="1" applyAlignment="1">
      <alignment horizontal="left"/>
    </xf>
    <xf numFmtId="1" fontId="43" fillId="0" borderId="1" xfId="2" applyNumberFormat="1" applyFont="1" applyBorder="1" applyAlignment="1">
      <alignment horizontal="left"/>
    </xf>
    <xf numFmtId="1" fontId="43" fillId="0" borderId="14" xfId="2" applyNumberFormat="1" applyFont="1" applyBorder="1" applyAlignment="1">
      <alignment horizontal="left"/>
    </xf>
    <xf numFmtId="1" fontId="43" fillId="0" borderId="1" xfId="0" applyNumberFormat="1" applyFont="1" applyBorder="1" applyAlignment="1">
      <alignment horizontal="left" wrapText="1"/>
    </xf>
    <xf numFmtId="1" fontId="43" fillId="0" borderId="1" xfId="0" applyNumberFormat="1" applyFont="1" applyFill="1" applyBorder="1" applyAlignment="1">
      <alignment horizontal="left" vertical="top" shrinkToFit="1"/>
    </xf>
    <xf numFmtId="1" fontId="43" fillId="0" borderId="14" xfId="0" applyNumberFormat="1" applyFont="1" applyFill="1" applyBorder="1" applyAlignment="1">
      <alignment horizontal="left" vertical="top" shrinkToFit="1"/>
    </xf>
    <xf numFmtId="1" fontId="43" fillId="0" borderId="1" xfId="0" applyNumberFormat="1" applyFont="1" applyFill="1" applyBorder="1" applyAlignment="1">
      <alignment horizontal="left"/>
    </xf>
    <xf numFmtId="1" fontId="43" fillId="0" borderId="14" xfId="0" applyNumberFormat="1" applyFont="1" applyFill="1" applyBorder="1" applyAlignment="1">
      <alignment horizontal="left"/>
    </xf>
    <xf numFmtId="1" fontId="43" fillId="0" borderId="1" xfId="1" applyNumberFormat="1" applyFont="1" applyBorder="1" applyAlignment="1">
      <alignment horizontal="left"/>
    </xf>
    <xf numFmtId="1" fontId="43" fillId="0" borderId="19" xfId="1" applyNumberFormat="1" applyFont="1" applyBorder="1" applyAlignment="1">
      <alignment horizontal="left"/>
    </xf>
    <xf numFmtId="1" fontId="43" fillId="0" borderId="2" xfId="1" applyNumberFormat="1" applyFont="1" applyBorder="1" applyAlignment="1">
      <alignment horizontal="left"/>
    </xf>
    <xf numFmtId="1" fontId="43" fillId="0" borderId="0" xfId="0" applyNumberFormat="1" applyFont="1" applyAlignment="1">
      <alignment horizontal="left"/>
    </xf>
    <xf numFmtId="0" fontId="48" fillId="0" borderId="0" xfId="0" applyFont="1" applyAlignment="1">
      <alignment horizontal="left"/>
    </xf>
    <xf numFmtId="3" fontId="22" fillId="0" borderId="3" xfId="0" applyNumberFormat="1" applyFont="1" applyBorder="1" applyAlignment="1">
      <alignment horizontal="left"/>
    </xf>
    <xf numFmtId="0" fontId="33" fillId="0" borderId="59" xfId="0" applyFont="1" applyFill="1" applyBorder="1" applyAlignment="1">
      <alignment horizontal="left" vertical="justify" wrapText="1"/>
    </xf>
    <xf numFmtId="0" fontId="33" fillId="0" borderId="13" xfId="0" applyFont="1" applyBorder="1" applyAlignment="1">
      <alignment horizontal="left"/>
    </xf>
    <xf numFmtId="0" fontId="33" fillId="0" borderId="12" xfId="0" applyFont="1" applyBorder="1" applyAlignment="1">
      <alignment horizontal="left"/>
    </xf>
    <xf numFmtId="0" fontId="33" fillId="0" borderId="57" xfId="0" applyFont="1" applyBorder="1" applyAlignment="1">
      <alignment horizontal="left"/>
    </xf>
    <xf numFmtId="0" fontId="53" fillId="0" borderId="13" xfId="0" applyFont="1" applyBorder="1" applyAlignment="1">
      <alignment horizontal="left"/>
    </xf>
    <xf numFmtId="0" fontId="53" fillId="0" borderId="12" xfId="0" applyFont="1" applyBorder="1" applyAlignment="1">
      <alignment horizontal="left"/>
    </xf>
    <xf numFmtId="0" fontId="33" fillId="0" borderId="0" xfId="0" applyFont="1" applyAlignment="1">
      <alignment horizontal="left"/>
    </xf>
    <xf numFmtId="2" fontId="24" fillId="0" borderId="14" xfId="1" applyNumberFormat="1" applyFont="1" applyBorder="1" applyAlignment="1">
      <alignment horizontal="left"/>
    </xf>
    <xf numFmtId="1" fontId="24" fillId="0" borderId="19" xfId="1" applyNumberFormat="1" applyFont="1" applyBorder="1" applyAlignment="1">
      <alignment horizontal="left"/>
    </xf>
    <xf numFmtId="0" fontId="54" fillId="0" borderId="16" xfId="0" applyFont="1" applyBorder="1" applyAlignment="1">
      <alignment horizontal="left"/>
    </xf>
    <xf numFmtId="1" fontId="54" fillId="0" borderId="1" xfId="0" applyNumberFormat="1" applyFont="1" applyBorder="1" applyAlignment="1">
      <alignment horizontal="left" vertical="center"/>
    </xf>
    <xf numFmtId="1" fontId="54" fillId="0" borderId="34" xfId="0" applyNumberFormat="1" applyFont="1" applyBorder="1" applyAlignment="1">
      <alignment horizontal="left" vertical="center"/>
    </xf>
    <xf numFmtId="1" fontId="54" fillId="0" borderId="16" xfId="0" applyNumberFormat="1" applyFont="1" applyBorder="1" applyAlignment="1">
      <alignment horizontal="left" vertical="center"/>
    </xf>
    <xf numFmtId="1" fontId="54" fillId="0" borderId="4" xfId="0" applyNumberFormat="1" applyFont="1" applyBorder="1" applyAlignment="1">
      <alignment horizontal="left" vertical="center"/>
    </xf>
    <xf numFmtId="1" fontId="54" fillId="0" borderId="16" xfId="0" applyNumberFormat="1" applyFont="1" applyBorder="1" applyAlignment="1">
      <alignment horizontal="left"/>
    </xf>
    <xf numFmtId="1" fontId="54" fillId="0" borderId="1" xfId="0" applyNumberFormat="1" applyFont="1" applyBorder="1" applyAlignment="1">
      <alignment horizontal="left"/>
    </xf>
    <xf numFmtId="1" fontId="54" fillId="0" borderId="19" xfId="0" applyNumberFormat="1" applyFont="1" applyBorder="1" applyAlignment="1">
      <alignment horizontal="left"/>
    </xf>
    <xf numFmtId="1" fontId="54" fillId="0" borderId="3" xfId="0" applyNumberFormat="1" applyFont="1" applyBorder="1" applyAlignment="1">
      <alignment horizontal="left"/>
    </xf>
    <xf numFmtId="0" fontId="55" fillId="0" borderId="0" xfId="0" applyFont="1" applyAlignment="1">
      <alignment horizontal="left"/>
    </xf>
    <xf numFmtId="0" fontId="54" fillId="0" borderId="48" xfId="0" applyFont="1" applyBorder="1" applyAlignment="1">
      <alignment horizontal="left"/>
    </xf>
    <xf numFmtId="1" fontId="54" fillId="0" borderId="13" xfId="0" applyNumberFormat="1" applyFont="1" applyBorder="1" applyAlignment="1">
      <alignment horizontal="left" vertical="center"/>
    </xf>
    <xf numFmtId="1" fontId="54" fillId="0" borderId="57" xfId="0" applyNumberFormat="1" applyFont="1" applyBorder="1" applyAlignment="1">
      <alignment horizontal="left" vertical="center"/>
    </xf>
    <xf numFmtId="1" fontId="54" fillId="0" borderId="55" xfId="0" applyNumberFormat="1" applyFont="1" applyBorder="1" applyAlignment="1">
      <alignment horizontal="left" vertical="center"/>
    </xf>
    <xf numFmtId="1" fontId="54" fillId="0" borderId="54" xfId="0" applyNumberFormat="1" applyFont="1" applyBorder="1" applyAlignment="1">
      <alignment horizontal="left" vertical="center"/>
    </xf>
    <xf numFmtId="1" fontId="54" fillId="0" borderId="56" xfId="0" applyNumberFormat="1" applyFont="1" applyBorder="1" applyAlignment="1">
      <alignment horizontal="left" vertical="center"/>
    </xf>
    <xf numFmtId="1" fontId="54" fillId="0" borderId="13" xfId="0" applyNumberFormat="1" applyFont="1" applyBorder="1" applyAlignment="1">
      <alignment horizontal="left"/>
    </xf>
    <xf numFmtId="1" fontId="54" fillId="0" borderId="12" xfId="0" applyNumberFormat="1" applyFont="1" applyBorder="1" applyAlignment="1">
      <alignment horizontal="left"/>
    </xf>
    <xf numFmtId="1" fontId="54" fillId="0" borderId="57" xfId="0" applyNumberFormat="1" applyFont="1" applyBorder="1" applyAlignment="1">
      <alignment horizontal="left"/>
    </xf>
    <xf numFmtId="2" fontId="54" fillId="0" borderId="13" xfId="0" applyNumberFormat="1" applyFont="1" applyBorder="1" applyAlignment="1">
      <alignment horizontal="left"/>
    </xf>
    <xf numFmtId="2" fontId="54" fillId="0" borderId="48" xfId="0" applyNumberFormat="1" applyFont="1" applyBorder="1" applyAlignment="1">
      <alignment horizontal="left"/>
    </xf>
    <xf numFmtId="1" fontId="54" fillId="0" borderId="48" xfId="0" applyNumberFormat="1" applyFont="1" applyBorder="1" applyAlignment="1">
      <alignment horizontal="left"/>
    </xf>
    <xf numFmtId="1" fontId="54" fillId="0" borderId="54" xfId="0" applyNumberFormat="1" applyFont="1" applyBorder="1" applyAlignment="1">
      <alignment horizontal="left"/>
    </xf>
    <xf numFmtId="3" fontId="54" fillId="0" borderId="13" xfId="0" applyNumberFormat="1" applyFont="1" applyBorder="1" applyAlignment="1">
      <alignment horizontal="left"/>
    </xf>
    <xf numFmtId="3" fontId="54" fillId="0" borderId="12" xfId="0" applyNumberFormat="1" applyFont="1" applyBorder="1" applyAlignment="1">
      <alignment horizontal="left"/>
    </xf>
    <xf numFmtId="1" fontId="54" fillId="0" borderId="13" xfId="0" applyNumberFormat="1" applyFont="1" applyFill="1" applyBorder="1" applyAlignment="1">
      <alignment horizontal="left"/>
    </xf>
    <xf numFmtId="1" fontId="54" fillId="0" borderId="12" xfId="0" applyNumberFormat="1" applyFont="1" applyFill="1" applyBorder="1" applyAlignment="1">
      <alignment horizontal="left"/>
    </xf>
    <xf numFmtId="1" fontId="54" fillId="0" borderId="54" xfId="1" applyNumberFormat="1" applyFont="1" applyBorder="1" applyAlignment="1">
      <alignment horizontal="left"/>
    </xf>
    <xf numFmtId="1" fontId="54" fillId="0" borderId="11" xfId="1" applyNumberFormat="1" applyFont="1" applyBorder="1" applyAlignment="1">
      <alignment horizontal="left"/>
    </xf>
    <xf numFmtId="1" fontId="54" fillId="0" borderId="13" xfId="1" applyNumberFormat="1" applyFont="1" applyBorder="1" applyAlignment="1">
      <alignment horizontal="left"/>
    </xf>
    <xf numFmtId="1" fontId="54" fillId="0" borderId="56" xfId="1" applyNumberFormat="1" applyFont="1" applyBorder="1" applyAlignment="1">
      <alignment horizontal="left"/>
    </xf>
    <xf numFmtId="0" fontId="54" fillId="0" borderId="0" xfId="0" applyFont="1" applyAlignment="1">
      <alignment horizontal="left"/>
    </xf>
    <xf numFmtId="2" fontId="19" fillId="0" borderId="63" xfId="0" applyNumberFormat="1" applyFont="1" applyBorder="1" applyAlignment="1">
      <alignment horizontal="center" wrapText="1"/>
    </xf>
    <xf numFmtId="2" fontId="19" fillId="0" borderId="61" xfId="0" applyNumberFormat="1" applyFont="1" applyBorder="1" applyAlignment="1">
      <alignment horizontal="center" wrapText="1"/>
    </xf>
    <xf numFmtId="2" fontId="19" fillId="0" borderId="62" xfId="0" applyNumberFormat="1" applyFont="1" applyBorder="1"/>
    <xf numFmtId="2" fontId="19" fillId="0" borderId="65" xfId="0" applyNumberFormat="1" applyFont="1" applyBorder="1"/>
    <xf numFmtId="2" fontId="19" fillId="0" borderId="66" xfId="0" applyNumberFormat="1" applyFont="1" applyBorder="1"/>
    <xf numFmtId="2" fontId="19" fillId="0" borderId="18" xfId="0" applyNumberFormat="1" applyFont="1" applyBorder="1" applyAlignment="1">
      <alignment wrapText="1"/>
    </xf>
    <xf numFmtId="2" fontId="19" fillId="0" borderId="18" xfId="0" applyNumberFormat="1" applyFont="1" applyBorder="1" applyAlignment="1">
      <alignment horizontal="center" wrapText="1"/>
    </xf>
    <xf numFmtId="2" fontId="19" fillId="0" borderId="0" xfId="0" applyNumberFormat="1" applyFont="1" applyBorder="1" applyAlignment="1">
      <alignment horizontal="center" wrapText="1"/>
    </xf>
    <xf numFmtId="2" fontId="19" fillId="0" borderId="52" xfId="0" applyNumberFormat="1" applyFont="1" applyBorder="1"/>
    <xf numFmtId="2" fontId="19" fillId="0" borderId="51" xfId="0" applyNumberFormat="1" applyFont="1" applyBorder="1"/>
    <xf numFmtId="2" fontId="19" fillId="0" borderId="67" xfId="0" applyNumberFormat="1" applyFont="1" applyBorder="1"/>
    <xf numFmtId="2" fontId="56" fillId="0" borderId="63" xfId="0" applyNumberFormat="1" applyFont="1" applyBorder="1" applyAlignment="1">
      <alignment horizontal="center" wrapText="1"/>
    </xf>
    <xf numFmtId="2" fontId="56" fillId="0" borderId="61" xfId="0" applyNumberFormat="1" applyFont="1" applyBorder="1" applyAlignment="1">
      <alignment horizontal="center" wrapText="1"/>
    </xf>
    <xf numFmtId="2" fontId="19" fillId="0" borderId="28" xfId="0" applyNumberFormat="1" applyFont="1" applyBorder="1" applyAlignment="1">
      <alignment horizontal="center" wrapText="1"/>
    </xf>
    <xf numFmtId="2" fontId="19" fillId="0" borderId="27" xfId="0" applyNumberFormat="1" applyFont="1" applyBorder="1" applyAlignment="1">
      <alignment horizontal="center" wrapText="1"/>
    </xf>
    <xf numFmtId="2" fontId="19" fillId="0" borderId="29" xfId="0" applyNumberFormat="1" applyFont="1" applyBorder="1"/>
    <xf numFmtId="2" fontId="19" fillId="0" borderId="40" xfId="0" applyNumberFormat="1" applyFont="1" applyBorder="1"/>
    <xf numFmtId="2" fontId="19" fillId="0" borderId="68" xfId="0" applyNumberFormat="1" applyFont="1" applyBorder="1"/>
    <xf numFmtId="0" fontId="46" fillId="0" borderId="59" xfId="0" applyFont="1" applyBorder="1" applyAlignment="1">
      <alignment horizontal="center" vertical="center" wrapText="1"/>
    </xf>
    <xf numFmtId="0" fontId="46" fillId="0" borderId="63" xfId="0" applyFont="1" applyBorder="1" applyAlignment="1">
      <alignment horizontal="center" vertical="center" wrapText="1"/>
    </xf>
    <xf numFmtId="0" fontId="46" fillId="0" borderId="61" xfId="0" applyFont="1" applyBorder="1" applyAlignment="1">
      <alignment horizontal="center" vertical="center" wrapText="1"/>
    </xf>
    <xf numFmtId="0" fontId="14" fillId="0" borderId="59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14" fillId="0" borderId="53" xfId="0" applyFont="1" applyBorder="1" applyAlignment="1">
      <alignment vertical="center" wrapText="1"/>
    </xf>
    <xf numFmtId="0" fontId="60" fillId="0" borderId="0" xfId="0" applyFont="1"/>
    <xf numFmtId="0" fontId="0" fillId="0" borderId="0" xfId="0" applyFont="1"/>
    <xf numFmtId="1" fontId="22" fillId="0" borderId="64" xfId="0" applyNumberFormat="1" applyFont="1" applyFill="1" applyBorder="1" applyAlignment="1">
      <alignment horizontal="center" vertical="center" wrapText="1"/>
    </xf>
    <xf numFmtId="1" fontId="22" fillId="0" borderId="63" xfId="0" applyNumberFormat="1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left"/>
    </xf>
    <xf numFmtId="0" fontId="21" fillId="0" borderId="69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1" fontId="22" fillId="0" borderId="64" xfId="0" applyNumberFormat="1" applyFont="1" applyFill="1" applyBorder="1" applyAlignment="1">
      <alignment horizontal="center" vertical="justify" wrapText="1"/>
    </xf>
    <xf numFmtId="1" fontId="22" fillId="0" borderId="63" xfId="0" applyNumberFormat="1" applyFont="1" applyFill="1" applyBorder="1" applyAlignment="1">
      <alignment horizontal="center" vertical="justify" wrapText="1"/>
    </xf>
    <xf numFmtId="1" fontId="15" fillId="0" borderId="64" xfId="0" applyNumberFormat="1" applyFont="1" applyBorder="1" applyAlignment="1">
      <alignment horizontal="justify" vertical="justify" wrapText="1"/>
    </xf>
    <xf numFmtId="1" fontId="15" fillId="0" borderId="63" xfId="0" applyNumberFormat="1" applyFont="1" applyBorder="1" applyAlignment="1">
      <alignment horizontal="justify" vertical="justify" wrapText="1"/>
    </xf>
    <xf numFmtId="1" fontId="15" fillId="0" borderId="64" xfId="0" applyNumberFormat="1" applyFont="1" applyFill="1" applyBorder="1" applyAlignment="1">
      <alignment horizontal="center" vertical="center" wrapText="1"/>
    </xf>
    <xf numFmtId="1" fontId="15" fillId="0" borderId="61" xfId="0" applyNumberFormat="1" applyFont="1" applyFill="1" applyBorder="1" applyAlignment="1">
      <alignment horizontal="center" vertical="center" wrapText="1"/>
    </xf>
    <xf numFmtId="1" fontId="15" fillId="0" borderId="64" xfId="0" applyNumberFormat="1" applyFont="1" applyBorder="1" applyAlignment="1">
      <alignment horizontal="center" vertical="center" wrapText="1"/>
    </xf>
    <xf numFmtId="1" fontId="15" fillId="0" borderId="61" xfId="0" applyNumberFormat="1" applyFont="1" applyBorder="1" applyAlignment="1">
      <alignment horizontal="center" vertical="center" wrapText="1"/>
    </xf>
    <xf numFmtId="1" fontId="15" fillId="0" borderId="63" xfId="0" applyNumberFormat="1" applyFont="1" applyBorder="1" applyAlignment="1">
      <alignment horizontal="center" vertical="center" wrapText="1"/>
    </xf>
    <xf numFmtId="1" fontId="15" fillId="0" borderId="63" xfId="0" applyNumberFormat="1" applyFont="1" applyFill="1" applyBorder="1" applyAlignment="1">
      <alignment horizontal="center" vertical="center" wrapText="1"/>
    </xf>
    <xf numFmtId="1" fontId="15" fillId="0" borderId="0" xfId="0" applyNumberFormat="1" applyFont="1" applyFill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1" fontId="15" fillId="0" borderId="41" xfId="0" applyNumberFormat="1" applyFont="1" applyBorder="1" applyAlignment="1">
      <alignment horizontal="left" vertical="center"/>
    </xf>
    <xf numFmtId="1" fontId="15" fillId="0" borderId="48" xfId="0" applyNumberFormat="1" applyFont="1" applyBorder="1" applyAlignment="1">
      <alignment horizontal="left" vertical="center"/>
    </xf>
    <xf numFmtId="1" fontId="21" fillId="0" borderId="69" xfId="0" applyNumberFormat="1" applyFont="1" applyBorder="1" applyAlignment="1">
      <alignment horizontal="center" vertical="center" wrapText="1"/>
    </xf>
    <xf numFmtId="1" fontId="21" fillId="0" borderId="58" xfId="0" applyNumberFormat="1" applyFont="1" applyBorder="1" applyAlignment="1">
      <alignment horizontal="center" vertical="center" wrapText="1"/>
    </xf>
    <xf numFmtId="1" fontId="21" fillId="0" borderId="69" xfId="0" applyNumberFormat="1" applyFont="1" applyFill="1" applyBorder="1" applyAlignment="1">
      <alignment horizontal="center" vertical="center" wrapText="1"/>
    </xf>
    <xf numFmtId="1" fontId="21" fillId="0" borderId="58" xfId="0" applyNumberFormat="1" applyFont="1" applyFill="1" applyBorder="1" applyAlignment="1">
      <alignment horizontal="center" vertical="center" wrapText="1"/>
    </xf>
    <xf numFmtId="0" fontId="21" fillId="0" borderId="49" xfId="0" applyFont="1" applyFill="1" applyBorder="1" applyAlignment="1">
      <alignment horizontal="center" vertical="center" wrapText="1"/>
    </xf>
    <xf numFmtId="0" fontId="21" fillId="0" borderId="58" xfId="0" applyFont="1" applyFill="1" applyBorder="1" applyAlignment="1">
      <alignment horizontal="center" vertical="center" wrapText="1"/>
    </xf>
    <xf numFmtId="1" fontId="21" fillId="0" borderId="49" xfId="0" applyNumberFormat="1" applyFont="1" applyFill="1" applyBorder="1" applyAlignment="1">
      <alignment horizontal="center" vertical="center" wrapText="1"/>
    </xf>
    <xf numFmtId="1" fontId="21" fillId="0" borderId="49" xfId="0" applyNumberFormat="1" applyFont="1" applyBorder="1" applyAlignment="1">
      <alignment horizontal="center" vertical="center" wrapText="1"/>
    </xf>
    <xf numFmtId="0" fontId="21" fillId="0" borderId="49" xfId="0" applyFont="1" applyBorder="1" applyAlignment="1">
      <alignment horizontal="center" vertical="center" wrapText="1"/>
    </xf>
    <xf numFmtId="0" fontId="21" fillId="0" borderId="58" xfId="0" applyFont="1" applyBorder="1" applyAlignment="1">
      <alignment horizontal="center" vertical="center" wrapText="1"/>
    </xf>
    <xf numFmtId="1" fontId="21" fillId="0" borderId="64" xfId="0" applyNumberFormat="1" applyFont="1" applyBorder="1" applyAlignment="1">
      <alignment horizontal="center" vertical="justify" wrapText="1"/>
    </xf>
    <xf numFmtId="1" fontId="21" fillId="0" borderId="63" xfId="0" applyNumberFormat="1" applyFont="1" applyBorder="1" applyAlignment="1">
      <alignment horizontal="center" vertical="justify" wrapText="1"/>
    </xf>
    <xf numFmtId="0" fontId="21" fillId="0" borderId="69" xfId="0" applyFont="1" applyFill="1" applyBorder="1" applyAlignment="1">
      <alignment horizontal="center" vertical="center" wrapText="1"/>
    </xf>
    <xf numFmtId="0" fontId="21" fillId="0" borderId="64" xfId="0" applyFont="1" applyBorder="1" applyAlignment="1">
      <alignment horizontal="center" vertical="center" wrapText="1"/>
    </xf>
    <xf numFmtId="0" fontId="21" fillId="0" borderId="63" xfId="0" applyFont="1" applyBorder="1" applyAlignment="1">
      <alignment horizontal="center" vertical="center" wrapText="1"/>
    </xf>
    <xf numFmtId="0" fontId="21" fillId="0" borderId="69" xfId="0" applyFont="1" applyBorder="1" applyAlignment="1">
      <alignment horizontal="center" vertical="center" wrapText="1"/>
    </xf>
    <xf numFmtId="0" fontId="57" fillId="0" borderId="0" xfId="0" applyFont="1" applyBorder="1" applyAlignment="1">
      <alignment horizontal="left"/>
    </xf>
    <xf numFmtId="0" fontId="21" fillId="0" borderId="47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1" fontId="22" fillId="0" borderId="64" xfId="0" applyNumberFormat="1" applyFont="1" applyBorder="1" applyAlignment="1">
      <alignment horizontal="center" vertical="center" wrapText="1"/>
    </xf>
    <xf numFmtId="1" fontId="22" fillId="0" borderId="63" xfId="0" applyNumberFormat="1" applyFont="1" applyBorder="1" applyAlignment="1">
      <alignment horizontal="center" vertical="center" wrapText="1"/>
    </xf>
    <xf numFmtId="1" fontId="22" fillId="0" borderId="61" xfId="0" applyNumberFormat="1" applyFont="1" applyFill="1" applyBorder="1" applyAlignment="1">
      <alignment horizontal="center" vertical="center" wrapText="1"/>
    </xf>
    <xf numFmtId="1" fontId="22" fillId="0" borderId="61" xfId="0" applyNumberFormat="1" applyFont="1" applyBorder="1" applyAlignment="1">
      <alignment horizontal="center" vertical="center" wrapText="1"/>
    </xf>
    <xf numFmtId="1" fontId="57" fillId="0" borderId="0" xfId="0" applyNumberFormat="1" applyFont="1" applyBorder="1" applyAlignment="1">
      <alignment horizontal="left"/>
    </xf>
    <xf numFmtId="1" fontId="22" fillId="0" borderId="69" xfId="0" applyNumberFormat="1" applyFont="1" applyBorder="1" applyAlignment="1">
      <alignment horizontal="center" vertical="center"/>
    </xf>
    <xf numFmtId="1" fontId="22" fillId="0" borderId="26" xfId="0" applyNumberFormat="1" applyFont="1" applyBorder="1" applyAlignment="1">
      <alignment horizontal="center" vertical="center"/>
    </xf>
    <xf numFmtId="1" fontId="53" fillId="0" borderId="0" xfId="0" applyNumberFormat="1" applyFont="1" applyFill="1" applyBorder="1" applyAlignment="1">
      <alignment horizontal="left"/>
    </xf>
    <xf numFmtId="1" fontId="22" fillId="0" borderId="24" xfId="0" applyNumberFormat="1" applyFont="1" applyBorder="1" applyAlignment="1">
      <alignment horizontal="left" vertical="center"/>
    </xf>
    <xf numFmtId="1" fontId="22" fillId="0" borderId="72" xfId="0" applyNumberFormat="1" applyFont="1" applyBorder="1" applyAlignment="1">
      <alignment horizontal="left" vertical="center"/>
    </xf>
    <xf numFmtId="0" fontId="15" fillId="0" borderId="64" xfId="0" applyFont="1" applyBorder="1" applyAlignment="1">
      <alignment horizontal="center" vertical="center" wrapText="1"/>
    </xf>
    <xf numFmtId="0" fontId="15" fillId="0" borderId="63" xfId="0" applyFont="1" applyBorder="1" applyAlignment="1">
      <alignment horizontal="center" vertical="center" wrapText="1"/>
    </xf>
    <xf numFmtId="0" fontId="15" fillId="0" borderId="61" xfId="0" applyFont="1" applyBorder="1" applyAlignment="1">
      <alignment horizontal="center" vertical="center" wrapText="1"/>
    </xf>
    <xf numFmtId="0" fontId="15" fillId="0" borderId="64" xfId="0" applyFont="1" applyFill="1" applyBorder="1" applyAlignment="1">
      <alignment horizontal="center" vertical="center" wrapText="1"/>
    </xf>
    <xf numFmtId="0" fontId="15" fillId="0" borderId="63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/>
    </xf>
    <xf numFmtId="0" fontId="58" fillId="0" borderId="0" xfId="0" applyFont="1" applyBorder="1" applyAlignment="1">
      <alignment horizontal="left"/>
    </xf>
    <xf numFmtId="0" fontId="21" fillId="0" borderId="41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1" fontId="22" fillId="0" borderId="69" xfId="0" applyNumberFormat="1" applyFont="1" applyFill="1" applyBorder="1" applyAlignment="1">
      <alignment horizontal="center" vertical="center" wrapText="1"/>
    </xf>
    <xf numFmtId="1" fontId="22" fillId="0" borderId="58" xfId="0" applyNumberFormat="1" applyFont="1" applyFill="1" applyBorder="1" applyAlignment="1">
      <alignment horizontal="center" vertical="center" wrapText="1"/>
    </xf>
    <xf numFmtId="1" fontId="22" fillId="0" borderId="49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8" fillId="0" borderId="0" xfId="0" applyFont="1" applyAlignment="1">
      <alignment horizontal="left"/>
    </xf>
    <xf numFmtId="1" fontId="21" fillId="0" borderId="64" xfId="0" applyNumberFormat="1" applyFont="1" applyFill="1" applyBorder="1" applyAlignment="1">
      <alignment horizontal="center" vertical="center" wrapText="1"/>
    </xf>
    <xf numFmtId="1" fontId="21" fillId="0" borderId="63" xfId="0" applyNumberFormat="1" applyFont="1" applyFill="1" applyBorder="1" applyAlignment="1">
      <alignment horizontal="center" vertical="center" wrapText="1"/>
    </xf>
    <xf numFmtId="0" fontId="38" fillId="0" borderId="47" xfId="0" applyFont="1" applyBorder="1" applyAlignment="1">
      <alignment horizontal="center"/>
    </xf>
    <xf numFmtId="0" fontId="38" fillId="0" borderId="15" xfId="0" applyFont="1" applyBorder="1" applyAlignment="1">
      <alignment horizontal="center"/>
    </xf>
    <xf numFmtId="1" fontId="22" fillId="0" borderId="69" xfId="0" applyNumberFormat="1" applyFont="1" applyFill="1" applyBorder="1" applyAlignment="1">
      <alignment horizontal="center" vertical="justify" wrapText="1"/>
    </xf>
    <xf numFmtId="1" fontId="22" fillId="0" borderId="58" xfId="0" applyNumberFormat="1" applyFont="1" applyFill="1" applyBorder="1" applyAlignment="1">
      <alignment horizontal="center" vertical="justify" wrapText="1"/>
    </xf>
    <xf numFmtId="0" fontId="22" fillId="0" borderId="64" xfId="0" applyFont="1" applyBorder="1" applyAlignment="1">
      <alignment horizontal="center" vertical="center" wrapText="1"/>
    </xf>
    <xf numFmtId="0" fontId="22" fillId="0" borderId="63" xfId="0" applyFont="1" applyBorder="1" applyAlignment="1">
      <alignment horizontal="center" vertical="center" wrapText="1"/>
    </xf>
    <xf numFmtId="1" fontId="22" fillId="0" borderId="64" xfId="0" applyNumberFormat="1" applyFont="1" applyBorder="1" applyAlignment="1">
      <alignment horizontal="center" vertical="justify" wrapText="1"/>
    </xf>
    <xf numFmtId="1" fontId="22" fillId="0" borderId="63" xfId="0" applyNumberFormat="1" applyFont="1" applyBorder="1" applyAlignment="1">
      <alignment horizontal="center" vertical="justify" wrapText="1"/>
    </xf>
    <xf numFmtId="0" fontId="59" fillId="0" borderId="6" xfId="0" applyFont="1" applyBorder="1" applyAlignment="1">
      <alignment horizontal="center" vertical="center" wrapText="1"/>
    </xf>
    <xf numFmtId="0" fontId="59" fillId="0" borderId="0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 wrapText="1"/>
    </xf>
    <xf numFmtId="0" fontId="53" fillId="0" borderId="64" xfId="0" applyFont="1" applyBorder="1" applyAlignment="1">
      <alignment horizontal="center" vertical="center" wrapText="1"/>
    </xf>
    <xf numFmtId="0" fontId="53" fillId="0" borderId="61" xfId="0" applyFont="1" applyBorder="1" applyAlignment="1">
      <alignment horizontal="center" vertical="center" wrapText="1"/>
    </xf>
    <xf numFmtId="0" fontId="53" fillId="0" borderId="62" xfId="0" applyFont="1" applyBorder="1" applyAlignment="1">
      <alignment horizontal="center"/>
    </xf>
    <xf numFmtId="0" fontId="53" fillId="0" borderId="65" xfId="0" applyFont="1" applyBorder="1" applyAlignment="1">
      <alignment horizontal="center"/>
    </xf>
    <xf numFmtId="0" fontId="53" fillId="0" borderId="66" xfId="0" applyFont="1" applyBorder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42" fillId="0" borderId="0" xfId="0" applyFont="1" applyBorder="1" applyAlignment="1">
      <alignment horizontal="left"/>
    </xf>
    <xf numFmtId="1" fontId="15" fillId="0" borderId="64" xfId="0" applyNumberFormat="1" applyFont="1" applyBorder="1" applyAlignment="1">
      <alignment horizontal="center" vertical="justify" wrapText="1"/>
    </xf>
    <xf numFmtId="1" fontId="15" fillId="0" borderId="63" xfId="0" applyNumberFormat="1" applyFont="1" applyBorder="1" applyAlignment="1">
      <alignment horizontal="center" vertical="justify" wrapText="1"/>
    </xf>
    <xf numFmtId="0" fontId="1" fillId="0" borderId="70" xfId="0" applyFont="1" applyBorder="1" applyAlignment="1">
      <alignment horizontal="center" vertical="justify" wrapText="1"/>
    </xf>
    <xf numFmtId="0" fontId="1" fillId="0" borderId="73" xfId="0" applyFont="1" applyBorder="1" applyAlignment="1">
      <alignment horizontal="center" vertical="justify" wrapText="1"/>
    </xf>
    <xf numFmtId="0" fontId="1" fillId="0" borderId="74" xfId="0" applyFont="1" applyBorder="1" applyAlignment="1">
      <alignment horizontal="center" vertical="justify" wrapText="1"/>
    </xf>
    <xf numFmtId="0" fontId="1" fillId="0" borderId="69" xfId="0" applyFont="1" applyBorder="1" applyAlignment="1">
      <alignment horizontal="justify" vertical="justify" wrapText="1"/>
    </xf>
    <xf numFmtId="0" fontId="1" fillId="0" borderId="49" xfId="0" applyFont="1" applyBorder="1" applyAlignment="1">
      <alignment horizontal="justify" vertical="justify" wrapText="1"/>
    </xf>
    <xf numFmtId="0" fontId="1" fillId="0" borderId="64" xfId="0" applyFont="1" applyBorder="1" applyAlignment="1">
      <alignment horizontal="justify" vertical="justify" wrapText="1"/>
    </xf>
    <xf numFmtId="0" fontId="1" fillId="0" borderId="63" xfId="0" applyFont="1" applyBorder="1" applyAlignment="1">
      <alignment horizontal="justify" vertical="justify" wrapText="1"/>
    </xf>
    <xf numFmtId="0" fontId="1" fillId="0" borderId="70" xfId="0" applyFont="1" applyBorder="1" applyAlignment="1">
      <alignment horizontal="justify" vertical="justify" wrapText="1"/>
    </xf>
    <xf numFmtId="0" fontId="1" fillId="0" borderId="58" xfId="0" applyFont="1" applyBorder="1" applyAlignment="1">
      <alignment horizontal="justify" vertical="justify" wrapText="1"/>
    </xf>
    <xf numFmtId="0" fontId="1" fillId="0" borderId="64" xfId="0" applyFont="1" applyBorder="1" applyAlignment="1">
      <alignment horizontal="center" vertical="justify" wrapText="1"/>
    </xf>
    <xf numFmtId="0" fontId="1" fillId="0" borderId="63" xfId="0" applyFont="1" applyBorder="1" applyAlignment="1">
      <alignment horizontal="center" vertical="justify" wrapText="1"/>
    </xf>
    <xf numFmtId="0" fontId="1" fillId="0" borderId="70" xfId="0" applyFont="1" applyFill="1" applyBorder="1" applyAlignment="1">
      <alignment horizontal="center" vertical="justify" wrapText="1"/>
    </xf>
    <xf numFmtId="0" fontId="1" fillId="0" borderId="73" xfId="0" applyFont="1" applyFill="1" applyBorder="1" applyAlignment="1">
      <alignment horizontal="center" vertical="justify" wrapText="1"/>
    </xf>
    <xf numFmtId="0" fontId="1" fillId="0" borderId="78" xfId="0" applyFont="1" applyBorder="1" applyAlignment="1">
      <alignment horizontal="center" vertical="justify" wrapText="1"/>
    </xf>
    <xf numFmtId="0" fontId="1" fillId="0" borderId="79" xfId="0" applyFont="1" applyFill="1" applyBorder="1" applyAlignment="1">
      <alignment horizontal="center" vertical="justify" wrapText="1"/>
    </xf>
    <xf numFmtId="0" fontId="1" fillId="0" borderId="74" xfId="0" applyFont="1" applyBorder="1" applyAlignment="1">
      <alignment horizontal="justify" vertical="justify" wrapText="1"/>
    </xf>
    <xf numFmtId="0" fontId="15" fillId="0" borderId="47" xfId="0" applyFont="1" applyBorder="1" applyAlignment="1">
      <alignment horizontal="left" vertical="center"/>
    </xf>
    <xf numFmtId="0" fontId="15" fillId="0" borderId="53" xfId="0" applyFont="1" applyBorder="1" applyAlignment="1">
      <alignment horizontal="left" vertical="center"/>
    </xf>
    <xf numFmtId="0" fontId="1" fillId="0" borderId="64" xfId="0" applyFont="1" applyFill="1" applyBorder="1" applyAlignment="1">
      <alignment horizontal="center" vertical="justify" wrapText="1"/>
    </xf>
    <xf numFmtId="0" fontId="1" fillId="0" borderId="63" xfId="0" applyFont="1" applyFill="1" applyBorder="1" applyAlignment="1">
      <alignment horizontal="center" vertical="justify" wrapText="1"/>
    </xf>
    <xf numFmtId="0" fontId="1" fillId="0" borderId="74" xfId="0" applyFont="1" applyFill="1" applyBorder="1" applyAlignment="1">
      <alignment horizontal="center" vertical="justify" wrapText="1"/>
    </xf>
    <xf numFmtId="0" fontId="22" fillId="0" borderId="69" xfId="0" applyFont="1" applyBorder="1" applyAlignment="1">
      <alignment horizontal="justify" vertical="justify" wrapText="1"/>
    </xf>
    <xf numFmtId="0" fontId="22" fillId="0" borderId="49" xfId="0" applyFont="1" applyBorder="1" applyAlignment="1">
      <alignment horizontal="justify" vertical="justify" wrapText="1"/>
    </xf>
    <xf numFmtId="0" fontId="22" fillId="0" borderId="58" xfId="0" applyFont="1" applyBorder="1" applyAlignment="1">
      <alignment horizontal="justify" vertical="justify" wrapText="1"/>
    </xf>
    <xf numFmtId="0" fontId="22" fillId="0" borderId="46" xfId="0" applyFont="1" applyBorder="1" applyAlignment="1">
      <alignment horizontal="justify" vertical="justify" wrapText="1"/>
    </xf>
    <xf numFmtId="0" fontId="22" fillId="0" borderId="44" xfId="0" applyFont="1" applyBorder="1" applyAlignment="1">
      <alignment horizontal="center" vertical="justify" wrapText="1"/>
    </xf>
    <xf numFmtId="0" fontId="22" fillId="0" borderId="46" xfId="0" applyFont="1" applyBorder="1" applyAlignment="1">
      <alignment horizontal="center" vertical="justify" wrapText="1"/>
    </xf>
    <xf numFmtId="0" fontId="22" fillId="0" borderId="49" xfId="0" applyFont="1" applyBorder="1" applyAlignment="1">
      <alignment horizontal="center" vertical="justify" wrapText="1"/>
    </xf>
    <xf numFmtId="0" fontId="22" fillId="0" borderId="69" xfId="0" applyFont="1" applyBorder="1" applyAlignment="1">
      <alignment horizontal="center" vertical="justify" wrapText="1"/>
    </xf>
    <xf numFmtId="1" fontId="22" fillId="0" borderId="42" xfId="0" applyNumberFormat="1" applyFont="1" applyBorder="1" applyAlignment="1">
      <alignment horizontal="justify" vertical="justify" wrapText="1"/>
    </xf>
    <xf numFmtId="1" fontId="22" fillId="0" borderId="45" xfId="0" applyNumberFormat="1" applyFont="1" applyBorder="1" applyAlignment="1">
      <alignment horizontal="justify" vertical="justify" wrapText="1"/>
    </xf>
    <xf numFmtId="1" fontId="22" fillId="0" borderId="69" xfId="0" applyNumberFormat="1" applyFont="1" applyBorder="1" applyAlignment="1">
      <alignment horizontal="center" vertical="justify" wrapText="1"/>
    </xf>
    <xf numFmtId="1" fontId="22" fillId="0" borderId="58" xfId="0" applyNumberFormat="1" applyFont="1" applyBorder="1" applyAlignment="1">
      <alignment horizontal="center" vertical="justify" wrapText="1"/>
    </xf>
    <xf numFmtId="0" fontId="22" fillId="0" borderId="79" xfId="0" applyFont="1" applyBorder="1" applyAlignment="1">
      <alignment horizontal="center" vertical="justify" wrapText="1"/>
    </xf>
    <xf numFmtId="0" fontId="22" fillId="0" borderId="78" xfId="0" applyFont="1" applyBorder="1" applyAlignment="1">
      <alignment horizontal="center" vertical="justify" wrapText="1"/>
    </xf>
    <xf numFmtId="0" fontId="22" fillId="0" borderId="79" xfId="0" applyFont="1" applyFill="1" applyBorder="1" applyAlignment="1">
      <alignment horizontal="center" vertical="justify" wrapText="1"/>
    </xf>
    <xf numFmtId="0" fontId="22" fillId="0" borderId="46" xfId="0" applyFont="1" applyFill="1" applyBorder="1" applyAlignment="1">
      <alignment horizontal="center" vertical="justify" wrapText="1"/>
    </xf>
    <xf numFmtId="0" fontId="22" fillId="0" borderId="58" xfId="0" applyFont="1" applyBorder="1" applyAlignment="1">
      <alignment horizontal="center" vertical="justify" wrapText="1"/>
    </xf>
    <xf numFmtId="0" fontId="22" fillId="0" borderId="69" xfId="0" applyFont="1" applyFill="1" applyBorder="1" applyAlignment="1">
      <alignment horizontal="justify" vertical="justify" wrapText="1"/>
    </xf>
    <xf numFmtId="0" fontId="22" fillId="0" borderId="58" xfId="0" applyFont="1" applyFill="1" applyBorder="1" applyAlignment="1">
      <alignment horizontal="justify" vertical="justify" wrapText="1"/>
    </xf>
    <xf numFmtId="0" fontId="22" fillId="0" borderId="49" xfId="0" applyFont="1" applyFill="1" applyBorder="1" applyAlignment="1">
      <alignment horizontal="justify" vertical="justify" wrapText="1"/>
    </xf>
    <xf numFmtId="0" fontId="22" fillId="0" borderId="70" xfId="0" applyFont="1" applyBorder="1" applyAlignment="1">
      <alignment horizontal="center" vertical="justify" wrapText="1"/>
    </xf>
    <xf numFmtId="0" fontId="22" fillId="0" borderId="74" xfId="0" applyFont="1" applyBorder="1" applyAlignment="1">
      <alignment horizontal="center" vertical="justify" wrapText="1"/>
    </xf>
    <xf numFmtId="0" fontId="22" fillId="0" borderId="70" xfId="0" applyFont="1" applyFill="1" applyBorder="1" applyAlignment="1">
      <alignment horizontal="center" vertical="justify" wrapText="1"/>
    </xf>
    <xf numFmtId="0" fontId="22" fillId="0" borderId="73" xfId="0" applyFont="1" applyFill="1" applyBorder="1" applyAlignment="1">
      <alignment horizontal="center" vertical="justify" wrapText="1"/>
    </xf>
    <xf numFmtId="0" fontId="3" fillId="0" borderId="64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3" fillId="0" borderId="64" xfId="0" applyFont="1" applyFill="1" applyBorder="1" applyAlignment="1">
      <alignment horizontal="center" vertical="center" wrapText="1"/>
    </xf>
    <xf numFmtId="0" fontId="3" fillId="0" borderId="63" xfId="0" applyFont="1" applyFill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0" fontId="21" fillId="0" borderId="47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3" fillId="0" borderId="61" xfId="0" applyFont="1" applyFill="1" applyBorder="1" applyAlignment="1">
      <alignment horizontal="center" vertical="center" wrapText="1"/>
    </xf>
    <xf numFmtId="0" fontId="15" fillId="0" borderId="64" xfId="0" applyFont="1" applyBorder="1" applyAlignment="1">
      <alignment horizontal="justify" vertical="justify" wrapText="1"/>
    </xf>
    <xf numFmtId="0" fontId="15" fillId="0" borderId="63" xfId="0" applyFont="1" applyBorder="1" applyAlignment="1">
      <alignment horizontal="justify" vertical="justify" wrapText="1"/>
    </xf>
    <xf numFmtId="0" fontId="15" fillId="0" borderId="6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69" xfId="0" applyFont="1" applyBorder="1" applyAlignment="1">
      <alignment horizontal="left" vertical="center"/>
    </xf>
    <xf numFmtId="0" fontId="15" fillId="0" borderId="26" xfId="0" applyFont="1" applyBorder="1" applyAlignment="1">
      <alignment horizontal="left" vertical="center"/>
    </xf>
  </cellXfs>
  <cellStyles count="3">
    <cellStyle name="Comma" xfId="1" builtinId="3"/>
    <cellStyle name="Comma 18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X60"/>
  <sheetViews>
    <sheetView tabSelected="1" workbookViewId="0">
      <pane xSplit="1" topLeftCell="B1" activePane="topRight" state="frozen"/>
      <selection pane="topRight" activeCell="D8" sqref="D8"/>
    </sheetView>
  </sheetViews>
  <sheetFormatPr defaultRowHeight="16.5" x14ac:dyDescent="0.3"/>
  <cols>
    <col min="1" max="1" width="65" style="86" bestFit="1" customWidth="1"/>
    <col min="2" max="2" width="3.85546875" style="86" customWidth="1"/>
    <col min="3" max="12" width="12.42578125" style="86" bestFit="1" customWidth="1"/>
    <col min="13" max="14" width="12.42578125" style="398" bestFit="1" customWidth="1"/>
    <col min="15" max="48" width="12.42578125" style="86" bestFit="1" customWidth="1"/>
    <col min="49" max="50" width="13.42578125" style="86" bestFit="1" customWidth="1"/>
    <col min="51" max="16384" width="9.140625" style="86"/>
  </cols>
  <sheetData>
    <row r="1" spans="1:50" ht="18.75" thickBot="1" x14ac:dyDescent="0.4">
      <c r="A1" s="1297" t="s">
        <v>392</v>
      </c>
      <c r="B1" s="1297"/>
      <c r="C1" s="1297"/>
      <c r="D1" s="1297"/>
      <c r="E1" s="1297"/>
      <c r="F1" s="1297"/>
      <c r="G1" s="1297"/>
      <c r="H1" s="1297"/>
      <c r="I1" s="1297"/>
      <c r="J1" s="1297"/>
      <c r="K1" s="1297"/>
      <c r="L1" s="1297"/>
      <c r="M1" s="1297"/>
      <c r="N1" s="1297"/>
      <c r="O1" s="1297"/>
      <c r="P1" s="1297"/>
      <c r="Q1" s="1297"/>
      <c r="R1" s="1297"/>
      <c r="S1" s="1297"/>
      <c r="T1" s="1297"/>
      <c r="U1" s="1297"/>
      <c r="V1" s="1297"/>
      <c r="W1" s="1297"/>
      <c r="X1" s="1297"/>
      <c r="Y1" s="1297"/>
      <c r="Z1" s="1297"/>
      <c r="AA1" s="1297"/>
      <c r="AB1" s="1297"/>
      <c r="AC1" s="1297"/>
      <c r="AD1" s="1297"/>
      <c r="AE1" s="1297"/>
      <c r="AF1" s="1297"/>
      <c r="AG1" s="1297"/>
      <c r="AH1" s="1297"/>
      <c r="AI1" s="1297"/>
      <c r="AJ1" s="1297"/>
      <c r="AK1" s="1297"/>
      <c r="AL1" s="1297"/>
      <c r="AM1" s="1297"/>
      <c r="AN1" s="1297"/>
      <c r="AO1" s="1297"/>
      <c r="AP1" s="1297"/>
      <c r="AQ1" s="1297"/>
      <c r="AR1" s="1297"/>
      <c r="AS1" s="1297"/>
      <c r="AT1" s="1297"/>
      <c r="AU1" s="1297"/>
      <c r="AV1" s="1297"/>
      <c r="AW1" s="1297"/>
      <c r="AX1" s="1297"/>
    </row>
    <row r="2" spans="1:50" ht="69" customHeight="1" thickBot="1" x14ac:dyDescent="0.35">
      <c r="A2" s="1298" t="s">
        <v>0</v>
      </c>
      <c r="B2" s="580"/>
      <c r="C2" s="1300" t="s">
        <v>159</v>
      </c>
      <c r="D2" s="1301"/>
      <c r="E2" s="1295" t="s">
        <v>160</v>
      </c>
      <c r="F2" s="1296"/>
      <c r="G2" s="1295" t="s">
        <v>161</v>
      </c>
      <c r="H2" s="1296"/>
      <c r="I2" s="1295" t="s">
        <v>162</v>
      </c>
      <c r="J2" s="1296"/>
      <c r="K2" s="1295" t="s">
        <v>163</v>
      </c>
      <c r="L2" s="1296"/>
      <c r="M2" s="1295" t="s">
        <v>164</v>
      </c>
      <c r="N2" s="1296"/>
      <c r="O2" s="1295" t="s">
        <v>315</v>
      </c>
      <c r="P2" s="1296"/>
      <c r="Q2" s="1295" t="s">
        <v>165</v>
      </c>
      <c r="R2" s="1296"/>
      <c r="S2" s="1295" t="s">
        <v>166</v>
      </c>
      <c r="T2" s="1296"/>
      <c r="U2" s="1295" t="s">
        <v>167</v>
      </c>
      <c r="V2" s="1296"/>
      <c r="W2" s="1295" t="s">
        <v>168</v>
      </c>
      <c r="X2" s="1296"/>
      <c r="Y2" s="1295" t="s">
        <v>169</v>
      </c>
      <c r="Z2" s="1296"/>
      <c r="AA2" s="1295" t="s">
        <v>325</v>
      </c>
      <c r="AB2" s="1296"/>
      <c r="AC2" s="1295" t="s">
        <v>170</v>
      </c>
      <c r="AD2" s="1296"/>
      <c r="AE2" s="1295" t="s">
        <v>171</v>
      </c>
      <c r="AF2" s="1296"/>
      <c r="AG2" s="1295" t="s">
        <v>172</v>
      </c>
      <c r="AH2" s="1296"/>
      <c r="AI2" s="1295" t="s">
        <v>173</v>
      </c>
      <c r="AJ2" s="1296"/>
      <c r="AK2" s="1295" t="s">
        <v>174</v>
      </c>
      <c r="AL2" s="1296"/>
      <c r="AM2" s="1295" t="s">
        <v>175</v>
      </c>
      <c r="AN2" s="1296"/>
      <c r="AO2" s="1295" t="s">
        <v>176</v>
      </c>
      <c r="AP2" s="1296"/>
      <c r="AQ2" s="1295" t="s">
        <v>177</v>
      </c>
      <c r="AR2" s="1296"/>
      <c r="AS2" s="1295" t="s">
        <v>178</v>
      </c>
      <c r="AT2" s="1296"/>
      <c r="AU2" s="1295" t="s">
        <v>179</v>
      </c>
      <c r="AV2" s="1296"/>
      <c r="AW2" s="1295" t="s">
        <v>180</v>
      </c>
      <c r="AX2" s="1296"/>
    </row>
    <row r="3" spans="1:50" s="443" customFormat="1" ht="15" customHeight="1" thickBot="1" x14ac:dyDescent="0.35">
      <c r="A3" s="1299"/>
      <c r="B3" s="592"/>
      <c r="C3" s="478" t="s">
        <v>391</v>
      </c>
      <c r="D3" s="478" t="s">
        <v>390</v>
      </c>
      <c r="E3" s="478" t="s">
        <v>391</v>
      </c>
      <c r="F3" s="478" t="s">
        <v>390</v>
      </c>
      <c r="G3" s="478" t="s">
        <v>391</v>
      </c>
      <c r="H3" s="478" t="s">
        <v>390</v>
      </c>
      <c r="I3" s="478" t="s">
        <v>391</v>
      </c>
      <c r="J3" s="478" t="s">
        <v>390</v>
      </c>
      <c r="K3" s="478" t="s">
        <v>391</v>
      </c>
      <c r="L3" s="478" t="s">
        <v>390</v>
      </c>
      <c r="M3" s="478" t="s">
        <v>391</v>
      </c>
      <c r="N3" s="478" t="s">
        <v>390</v>
      </c>
      <c r="O3" s="478" t="s">
        <v>391</v>
      </c>
      <c r="P3" s="478" t="s">
        <v>390</v>
      </c>
      <c r="Q3" s="478" t="s">
        <v>391</v>
      </c>
      <c r="R3" s="478" t="s">
        <v>390</v>
      </c>
      <c r="S3" s="478" t="s">
        <v>391</v>
      </c>
      <c r="T3" s="478" t="s">
        <v>390</v>
      </c>
      <c r="U3" s="478" t="s">
        <v>391</v>
      </c>
      <c r="V3" s="478" t="s">
        <v>390</v>
      </c>
      <c r="W3" s="478" t="s">
        <v>391</v>
      </c>
      <c r="X3" s="478" t="s">
        <v>390</v>
      </c>
      <c r="Y3" s="478" t="s">
        <v>391</v>
      </c>
      <c r="Z3" s="478" t="s">
        <v>390</v>
      </c>
      <c r="AA3" s="478" t="s">
        <v>391</v>
      </c>
      <c r="AB3" s="478" t="s">
        <v>390</v>
      </c>
      <c r="AC3" s="478" t="s">
        <v>391</v>
      </c>
      <c r="AD3" s="478" t="s">
        <v>390</v>
      </c>
      <c r="AE3" s="478" t="s">
        <v>391</v>
      </c>
      <c r="AF3" s="478" t="s">
        <v>390</v>
      </c>
      <c r="AG3" s="478" t="s">
        <v>391</v>
      </c>
      <c r="AH3" s="478" t="s">
        <v>390</v>
      </c>
      <c r="AI3" s="478" t="s">
        <v>391</v>
      </c>
      <c r="AJ3" s="478" t="s">
        <v>390</v>
      </c>
      <c r="AK3" s="478" t="s">
        <v>391</v>
      </c>
      <c r="AL3" s="478" t="s">
        <v>390</v>
      </c>
      <c r="AM3" s="478" t="s">
        <v>391</v>
      </c>
      <c r="AN3" s="478" t="s">
        <v>390</v>
      </c>
      <c r="AO3" s="478" t="s">
        <v>391</v>
      </c>
      <c r="AP3" s="478" t="s">
        <v>390</v>
      </c>
      <c r="AQ3" s="478" t="s">
        <v>391</v>
      </c>
      <c r="AR3" s="478" t="s">
        <v>390</v>
      </c>
      <c r="AS3" s="478" t="s">
        <v>391</v>
      </c>
      <c r="AT3" s="478" t="s">
        <v>390</v>
      </c>
      <c r="AU3" s="478" t="s">
        <v>391</v>
      </c>
      <c r="AV3" s="478" t="s">
        <v>390</v>
      </c>
      <c r="AW3" s="478" t="s">
        <v>391</v>
      </c>
      <c r="AX3" s="478" t="s">
        <v>390</v>
      </c>
    </row>
    <row r="4" spans="1:50" ht="15" customHeight="1" x14ac:dyDescent="0.3">
      <c r="A4" s="409" t="s">
        <v>21</v>
      </c>
      <c r="B4" s="412"/>
      <c r="C4" s="410"/>
      <c r="D4" s="684"/>
      <c r="E4" s="411"/>
      <c r="F4" s="411"/>
      <c r="G4" s="414"/>
      <c r="H4" s="411"/>
      <c r="I4" s="411"/>
      <c r="J4" s="411"/>
      <c r="K4" s="411"/>
      <c r="L4" s="411"/>
      <c r="M4" s="417"/>
      <c r="N4" s="417"/>
      <c r="O4" s="411"/>
      <c r="P4" s="411"/>
      <c r="Q4" s="411"/>
      <c r="R4" s="411"/>
      <c r="S4" s="414"/>
      <c r="T4" s="411"/>
      <c r="U4" s="411"/>
      <c r="V4" s="411"/>
      <c r="W4" s="411"/>
      <c r="X4" s="411"/>
      <c r="Y4" s="411"/>
      <c r="Z4" s="411"/>
      <c r="AA4" s="411"/>
      <c r="AB4" s="411"/>
      <c r="AC4" s="411"/>
      <c r="AD4" s="411"/>
      <c r="AE4" s="411"/>
      <c r="AF4" s="411"/>
      <c r="AG4" s="411"/>
      <c r="AH4" s="411"/>
      <c r="AI4" s="411"/>
      <c r="AJ4" s="411"/>
      <c r="AK4" s="411"/>
      <c r="AL4" s="411"/>
      <c r="AM4" s="411"/>
      <c r="AN4" s="411"/>
      <c r="AO4" s="411"/>
      <c r="AP4" s="411"/>
      <c r="AQ4" s="411"/>
      <c r="AR4" s="411"/>
      <c r="AS4" s="411"/>
      <c r="AT4" s="411"/>
      <c r="AU4" s="411"/>
      <c r="AV4" s="411"/>
      <c r="AW4" s="414"/>
      <c r="AX4" s="411"/>
    </row>
    <row r="5" spans="1:50" ht="25.5" customHeight="1" x14ac:dyDescent="0.3">
      <c r="A5" s="350" t="s">
        <v>22</v>
      </c>
      <c r="B5" s="408" t="s">
        <v>186</v>
      </c>
      <c r="C5" s="404">
        <v>176279.88</v>
      </c>
      <c r="D5" s="685">
        <v>261967</v>
      </c>
      <c r="E5" s="406">
        <v>9483.0499999999993</v>
      </c>
      <c r="F5" s="406">
        <v>7620</v>
      </c>
      <c r="G5" s="415">
        <v>21672.16</v>
      </c>
      <c r="H5" s="406">
        <v>22080</v>
      </c>
      <c r="I5" s="406">
        <v>251547.8</v>
      </c>
      <c r="J5" s="406">
        <v>436874</v>
      </c>
      <c r="K5" s="406">
        <v>42902.66</v>
      </c>
      <c r="L5" s="406">
        <v>49764</v>
      </c>
      <c r="M5" s="418">
        <v>123855.16</v>
      </c>
      <c r="N5" s="418">
        <v>111751</v>
      </c>
      <c r="O5" s="406">
        <v>23231</v>
      </c>
      <c r="P5" s="688">
        <v>28382</v>
      </c>
      <c r="Q5" s="420">
        <v>21512.95</v>
      </c>
      <c r="R5" s="420">
        <v>24179</v>
      </c>
      <c r="S5" s="1012">
        <v>62190.29</v>
      </c>
      <c r="T5" s="406">
        <v>65356</v>
      </c>
      <c r="U5" s="406">
        <v>22478.04</v>
      </c>
      <c r="V5" s="406">
        <v>30663</v>
      </c>
      <c r="W5" s="406">
        <v>765594.22</v>
      </c>
      <c r="X5" s="406">
        <v>939610</v>
      </c>
      <c r="Y5" s="406">
        <v>686999.58</v>
      </c>
      <c r="Z5" s="406">
        <v>726472</v>
      </c>
      <c r="AA5" s="424">
        <v>30082.15</v>
      </c>
      <c r="AB5" s="424">
        <v>34472</v>
      </c>
      <c r="AC5" s="406">
        <v>83409.97</v>
      </c>
      <c r="AD5" s="406">
        <v>90796</v>
      </c>
      <c r="AE5" s="406">
        <v>166326</v>
      </c>
      <c r="AF5" s="406">
        <v>225828</v>
      </c>
      <c r="AG5" s="406">
        <v>348406.41</v>
      </c>
      <c r="AH5" s="406">
        <v>410308</v>
      </c>
      <c r="AI5" s="406">
        <v>110967.2</v>
      </c>
      <c r="AJ5" s="406">
        <v>143385</v>
      </c>
      <c r="AK5" s="406">
        <v>84490.34</v>
      </c>
      <c r="AL5" s="406">
        <v>100441</v>
      </c>
      <c r="AM5" s="427"/>
      <c r="AN5" s="427"/>
      <c r="AO5" s="428">
        <v>837664.81</v>
      </c>
      <c r="AP5" s="428">
        <v>1134910</v>
      </c>
      <c r="AQ5" s="431">
        <v>32375.82</v>
      </c>
      <c r="AR5" s="431">
        <v>39987.360000000001</v>
      </c>
      <c r="AS5" s="425">
        <v>68807.990000000005</v>
      </c>
      <c r="AT5" s="425">
        <v>119031</v>
      </c>
      <c r="AU5" s="406">
        <v>205196.2</v>
      </c>
      <c r="AV5" s="406">
        <v>308293</v>
      </c>
      <c r="AW5" s="706">
        <v>8183699.9199999999</v>
      </c>
      <c r="AX5" s="425">
        <v>9848585</v>
      </c>
    </row>
    <row r="6" spans="1:50" x14ac:dyDescent="0.3">
      <c r="A6" s="350" t="s">
        <v>187</v>
      </c>
      <c r="B6" s="413"/>
      <c r="C6" s="404">
        <v>-8487.52</v>
      </c>
      <c r="D6" s="685">
        <v>-13266</v>
      </c>
      <c r="E6" s="406">
        <v>-1995.5</v>
      </c>
      <c r="F6" s="406">
        <v>-1697</v>
      </c>
      <c r="G6" s="415">
        <v>-2016.18</v>
      </c>
      <c r="H6" s="406">
        <v>-1688</v>
      </c>
      <c r="I6" s="406">
        <v>-2906.55</v>
      </c>
      <c r="J6" s="406">
        <v>-5686</v>
      </c>
      <c r="K6" s="406">
        <v>-808.27</v>
      </c>
      <c r="L6" s="406">
        <v>-1092</v>
      </c>
      <c r="M6" s="418">
        <v>-1092.03</v>
      </c>
      <c r="N6" s="418">
        <v>-5714</v>
      </c>
      <c r="O6" s="406">
        <v>-1346</v>
      </c>
      <c r="P6" s="406">
        <v>-1182</v>
      </c>
      <c r="Q6" s="421">
        <v>-860.85</v>
      </c>
      <c r="R6" s="421">
        <v>-878</v>
      </c>
      <c r="S6" s="1012">
        <v>-4446.33</v>
      </c>
      <c r="T6" s="406">
        <v>-7827</v>
      </c>
      <c r="U6" s="406">
        <v>-1373.8</v>
      </c>
      <c r="V6" s="406">
        <v>-2340</v>
      </c>
      <c r="W6" s="406">
        <v>-11746.6</v>
      </c>
      <c r="X6" s="406">
        <v>-12423</v>
      </c>
      <c r="Y6" s="406">
        <v>-26814.34</v>
      </c>
      <c r="Z6" s="406">
        <v>-38055</v>
      </c>
      <c r="AA6" s="424">
        <v>-309.23</v>
      </c>
      <c r="AB6" s="424">
        <v>-401</v>
      </c>
      <c r="AC6" s="406">
        <v>-6400.37</v>
      </c>
      <c r="AD6" s="406">
        <v>-3445</v>
      </c>
      <c r="AE6" s="406">
        <v>-6272.93</v>
      </c>
      <c r="AF6" s="406">
        <v>-7144</v>
      </c>
      <c r="AG6" s="406">
        <v>-9838.94</v>
      </c>
      <c r="AH6" s="406">
        <v>-12618</v>
      </c>
      <c r="AI6" s="406">
        <v>-8016.83</v>
      </c>
      <c r="AJ6" s="406">
        <v>-12105</v>
      </c>
      <c r="AK6" s="406">
        <v>-548</v>
      </c>
      <c r="AL6" s="406">
        <v>-711</v>
      </c>
      <c r="AM6" s="427"/>
      <c r="AN6" s="427"/>
      <c r="AO6" s="428">
        <v>-6409.09</v>
      </c>
      <c r="AP6" s="428">
        <v>-31308</v>
      </c>
      <c r="AQ6" s="431">
        <v>-201.08</v>
      </c>
      <c r="AR6" s="431">
        <v>-212.27</v>
      </c>
      <c r="AS6" s="425">
        <v>-12428.92</v>
      </c>
      <c r="AT6" s="425">
        <v>-16661</v>
      </c>
      <c r="AU6" s="406">
        <v>-8356.74</v>
      </c>
      <c r="AV6" s="406">
        <v>-11679</v>
      </c>
      <c r="AW6" s="706">
        <v>-11558.16</v>
      </c>
      <c r="AX6" s="425">
        <v>-13408</v>
      </c>
    </row>
    <row r="7" spans="1:50" x14ac:dyDescent="0.3">
      <c r="A7" s="350" t="s">
        <v>188</v>
      </c>
      <c r="B7" s="413"/>
      <c r="C7" s="404"/>
      <c r="D7" s="685"/>
      <c r="E7" s="406"/>
      <c r="F7" s="406"/>
      <c r="G7" s="415"/>
      <c r="H7" s="406"/>
      <c r="I7" s="406"/>
      <c r="J7" s="406"/>
      <c r="K7" s="406"/>
      <c r="L7" s="406"/>
      <c r="M7" s="418"/>
      <c r="N7" s="418"/>
      <c r="O7" s="406"/>
      <c r="P7" s="406"/>
      <c r="Q7" s="421"/>
      <c r="R7" s="421"/>
      <c r="S7" s="1012"/>
      <c r="T7" s="406"/>
      <c r="U7" s="406"/>
      <c r="V7" s="406"/>
      <c r="W7" s="406"/>
      <c r="X7" s="406"/>
      <c r="Y7" s="406">
        <v>0.01</v>
      </c>
      <c r="Z7" s="406">
        <v>3</v>
      </c>
      <c r="AA7" s="424"/>
      <c r="AB7" s="424"/>
      <c r="AC7" s="406"/>
      <c r="AD7" s="406"/>
      <c r="AE7" s="406"/>
      <c r="AF7" s="406"/>
      <c r="AG7" s="406"/>
      <c r="AH7" s="406"/>
      <c r="AI7" s="406"/>
      <c r="AJ7" s="406"/>
      <c r="AK7" s="406"/>
      <c r="AL7" s="406"/>
      <c r="AM7" s="427"/>
      <c r="AN7" s="427"/>
      <c r="AO7" s="400"/>
      <c r="AP7" s="400"/>
      <c r="AQ7" s="431"/>
      <c r="AR7" s="431"/>
      <c r="AS7" s="425"/>
      <c r="AT7" s="425"/>
      <c r="AU7" s="406"/>
      <c r="AV7" s="406"/>
      <c r="AW7" s="706"/>
      <c r="AX7" s="425"/>
    </row>
    <row r="8" spans="1:50" x14ac:dyDescent="0.3">
      <c r="A8" s="408" t="s">
        <v>189</v>
      </c>
      <c r="B8" s="413"/>
      <c r="C8" s="404">
        <f>C5+C6</f>
        <v>167792.36000000002</v>
      </c>
      <c r="D8" s="404">
        <f>D5+D6</f>
        <v>248701</v>
      </c>
      <c r="E8" s="406">
        <v>7487.55</v>
      </c>
      <c r="F8" s="406">
        <f>F5+F6</f>
        <v>5923</v>
      </c>
      <c r="G8" s="415">
        <v>19655.98</v>
      </c>
      <c r="H8" s="415">
        <f t="shared" ref="H8:N8" si="0">H5+H6</f>
        <v>20392</v>
      </c>
      <c r="I8" s="406">
        <f t="shared" si="0"/>
        <v>248641.25</v>
      </c>
      <c r="J8" s="406">
        <f t="shared" si="0"/>
        <v>431188</v>
      </c>
      <c r="K8" s="406">
        <f t="shared" si="0"/>
        <v>42094.390000000007</v>
      </c>
      <c r="L8" s="406">
        <f t="shared" si="0"/>
        <v>48672</v>
      </c>
      <c r="M8" s="406">
        <f t="shared" si="0"/>
        <v>122763.13</v>
      </c>
      <c r="N8" s="406">
        <f t="shared" si="0"/>
        <v>106037</v>
      </c>
      <c r="O8" s="406">
        <f>O5+O6</f>
        <v>21885</v>
      </c>
      <c r="P8" s="406">
        <f>P5+P6</f>
        <v>27200</v>
      </c>
      <c r="Q8" s="970">
        <v>20652.099999999999</v>
      </c>
      <c r="R8" s="406">
        <f>R5+R6</f>
        <v>23301</v>
      </c>
      <c r="S8" s="1012">
        <f>S5+S6</f>
        <v>57743.96</v>
      </c>
      <c r="T8" s="406">
        <f>T5+T6</f>
        <v>57529</v>
      </c>
      <c r="U8" s="406">
        <f>U5+U6</f>
        <v>21104.240000000002</v>
      </c>
      <c r="V8" s="406">
        <f>V5+V6</f>
        <v>28323</v>
      </c>
      <c r="W8" s="406">
        <v>753847.62</v>
      </c>
      <c r="X8" s="406">
        <f>X5+X6</f>
        <v>927187</v>
      </c>
      <c r="Y8" s="406">
        <v>660185.25</v>
      </c>
      <c r="Z8" s="406">
        <f>Z5+Z6</f>
        <v>688417</v>
      </c>
      <c r="AA8" s="406">
        <v>29772.92</v>
      </c>
      <c r="AB8" s="406">
        <f>AB5+AB6</f>
        <v>34071</v>
      </c>
      <c r="AC8" s="406">
        <f>AC5+AC6</f>
        <v>77009.600000000006</v>
      </c>
      <c r="AD8" s="406">
        <f>AD5+AD6</f>
        <v>87351</v>
      </c>
      <c r="AE8" s="406">
        <v>160052.99</v>
      </c>
      <c r="AF8" s="406">
        <f>AF5+AF6</f>
        <v>218684</v>
      </c>
      <c r="AG8" s="406">
        <v>338567.47</v>
      </c>
      <c r="AH8" s="406">
        <f>AH5+AH6</f>
        <v>397690</v>
      </c>
      <c r="AI8" s="406">
        <f>AI5+AI6</f>
        <v>102950.37</v>
      </c>
      <c r="AJ8" s="406">
        <f>AJ5+AJ6</f>
        <v>131280</v>
      </c>
      <c r="AK8" s="406">
        <f>AK5+AK6</f>
        <v>83942.34</v>
      </c>
      <c r="AL8" s="406">
        <f>AL5+AL6</f>
        <v>99730</v>
      </c>
      <c r="AM8" s="406">
        <f>SUM(AM5:AM7)</f>
        <v>0</v>
      </c>
      <c r="AN8" s="406">
        <f>SUM(AN5:AN7)</f>
        <v>0</v>
      </c>
      <c r="AO8" s="406">
        <f t="shared" ref="AO8:AX8" si="1">AO5+AO6</f>
        <v>831255.72000000009</v>
      </c>
      <c r="AP8" s="406">
        <f t="shared" si="1"/>
        <v>1103602</v>
      </c>
      <c r="AQ8" s="406">
        <f t="shared" si="1"/>
        <v>32174.739999999998</v>
      </c>
      <c r="AR8" s="406">
        <f t="shared" si="1"/>
        <v>39775.090000000004</v>
      </c>
      <c r="AS8" s="406">
        <f t="shared" si="1"/>
        <v>56379.070000000007</v>
      </c>
      <c r="AT8" s="406">
        <f t="shared" si="1"/>
        <v>102370</v>
      </c>
      <c r="AU8" s="406">
        <f t="shared" si="1"/>
        <v>196839.46000000002</v>
      </c>
      <c r="AV8" s="406">
        <f t="shared" si="1"/>
        <v>296614</v>
      </c>
      <c r="AW8" s="706">
        <f t="shared" si="1"/>
        <v>8172141.7599999998</v>
      </c>
      <c r="AX8" s="425">
        <f t="shared" si="1"/>
        <v>9835177</v>
      </c>
    </row>
    <row r="9" spans="1:50" ht="17.25" x14ac:dyDescent="0.35">
      <c r="A9" s="408" t="s">
        <v>190</v>
      </c>
      <c r="B9" s="413"/>
      <c r="C9" s="405"/>
      <c r="D9" s="686"/>
      <c r="E9" s="407"/>
      <c r="F9" s="407"/>
      <c r="G9" s="416"/>
      <c r="H9" s="407"/>
      <c r="I9" s="407"/>
      <c r="J9" s="407"/>
      <c r="K9" s="407"/>
      <c r="L9" s="407"/>
      <c r="M9" s="419"/>
      <c r="N9" s="419"/>
      <c r="O9" s="407"/>
      <c r="P9" s="407"/>
      <c r="Q9" s="422"/>
      <c r="R9" s="422"/>
      <c r="S9" s="213"/>
      <c r="T9" s="407"/>
      <c r="U9" s="407"/>
      <c r="V9" s="407"/>
      <c r="W9" s="407"/>
      <c r="X9" s="407"/>
      <c r="Y9" s="407"/>
      <c r="Z9" s="407"/>
      <c r="AA9" s="424"/>
      <c r="AB9" s="424"/>
      <c r="AC9" s="407"/>
      <c r="AD9" s="407"/>
      <c r="AE9" s="426"/>
      <c r="AF9" s="426"/>
      <c r="AG9" s="407"/>
      <c r="AH9" s="407"/>
      <c r="AI9" s="407"/>
      <c r="AJ9" s="407"/>
      <c r="AK9" s="407"/>
      <c r="AL9" s="407"/>
      <c r="AM9" s="427"/>
      <c r="AN9" s="427"/>
      <c r="AO9" s="400"/>
      <c r="AP9" s="400"/>
      <c r="AQ9" s="431"/>
      <c r="AR9" s="431"/>
      <c r="AS9" s="425"/>
      <c r="AT9" s="425"/>
      <c r="AU9" s="407"/>
      <c r="AV9" s="407"/>
      <c r="AW9" s="416"/>
      <c r="AX9" s="407"/>
    </row>
    <row r="10" spans="1:50" ht="17.25" x14ac:dyDescent="0.35">
      <c r="A10" s="350" t="s">
        <v>191</v>
      </c>
      <c r="B10" s="413"/>
      <c r="C10" s="404">
        <v>72140.460000000006</v>
      </c>
      <c r="D10" s="685">
        <v>76879</v>
      </c>
      <c r="E10" s="406">
        <v>3987.5</v>
      </c>
      <c r="F10" s="406">
        <v>4795</v>
      </c>
      <c r="G10" s="415">
        <v>15890.86</v>
      </c>
      <c r="H10" s="406">
        <v>17517</v>
      </c>
      <c r="I10" s="406">
        <v>74423.259999999995</v>
      </c>
      <c r="J10" s="406">
        <v>85044</v>
      </c>
      <c r="K10" s="406">
        <v>14307.31</v>
      </c>
      <c r="L10" s="406">
        <v>15850</v>
      </c>
      <c r="M10" s="418">
        <v>25801.08</v>
      </c>
      <c r="N10" s="418">
        <v>29999</v>
      </c>
      <c r="O10" s="406">
        <v>8340</v>
      </c>
      <c r="P10" s="406">
        <v>9475</v>
      </c>
      <c r="Q10" s="421">
        <v>6174.37</v>
      </c>
      <c r="R10" s="421">
        <v>8081</v>
      </c>
      <c r="S10" s="1012">
        <v>28644.3</v>
      </c>
      <c r="T10" s="406">
        <v>31781</v>
      </c>
      <c r="U10" s="406">
        <v>8898.64</v>
      </c>
      <c r="V10" s="406">
        <v>10130</v>
      </c>
      <c r="W10" s="406">
        <v>221815.07</v>
      </c>
      <c r="X10" s="406">
        <v>266123</v>
      </c>
      <c r="Y10" s="406">
        <v>200027.34</v>
      </c>
      <c r="Z10" s="406">
        <v>224352</v>
      </c>
      <c r="AA10" s="406">
        <v>17559.52</v>
      </c>
      <c r="AB10" s="406">
        <v>19681</v>
      </c>
      <c r="AC10" s="406">
        <v>23063.599999999999</v>
      </c>
      <c r="AD10" s="406">
        <v>24557</v>
      </c>
      <c r="AE10" s="406">
        <v>56390</v>
      </c>
      <c r="AF10" s="406">
        <v>63724</v>
      </c>
      <c r="AG10" s="406">
        <v>127121.74</v>
      </c>
      <c r="AH10" s="406">
        <v>139172</v>
      </c>
      <c r="AI10" s="406">
        <v>42099.360000000001</v>
      </c>
      <c r="AJ10" s="406">
        <v>49052</v>
      </c>
      <c r="AK10" s="406">
        <v>35136.06</v>
      </c>
      <c r="AL10" s="406">
        <v>40107</v>
      </c>
      <c r="AM10" s="427"/>
      <c r="AN10" s="427"/>
      <c r="AO10" s="428">
        <v>270960.96000000002</v>
      </c>
      <c r="AP10" s="428">
        <v>327952</v>
      </c>
      <c r="AQ10" s="431">
        <v>9862.08</v>
      </c>
      <c r="AR10" s="431">
        <v>11516.66</v>
      </c>
      <c r="AS10" s="425">
        <v>18251.29</v>
      </c>
      <c r="AT10" s="425">
        <v>22316</v>
      </c>
      <c r="AU10" s="407">
        <v>48126.94</v>
      </c>
      <c r="AV10" s="407">
        <v>56825</v>
      </c>
      <c r="AW10" s="706">
        <v>60283369.030000001</v>
      </c>
      <c r="AX10" s="425">
        <v>6682364</v>
      </c>
    </row>
    <row r="11" spans="1:50" x14ac:dyDescent="0.3">
      <c r="A11" s="350" t="s">
        <v>192</v>
      </c>
      <c r="B11" s="413"/>
      <c r="C11" s="404">
        <v>57439.12</v>
      </c>
      <c r="D11" s="685">
        <v>34916</v>
      </c>
      <c r="E11" s="406">
        <v>4410.72</v>
      </c>
      <c r="F11" s="406">
        <v>2626</v>
      </c>
      <c r="G11" s="415">
        <v>9912.9</v>
      </c>
      <c r="H11" s="406">
        <v>9208</v>
      </c>
      <c r="I11" s="406">
        <v>93267.78</v>
      </c>
      <c r="J11" s="406">
        <v>59497</v>
      </c>
      <c r="K11" s="406">
        <v>10896.54</v>
      </c>
      <c r="L11" s="406">
        <v>4102</v>
      </c>
      <c r="M11" s="418">
        <v>36873.56</v>
      </c>
      <c r="N11" s="418">
        <v>12693</v>
      </c>
      <c r="O11" s="406">
        <v>504</v>
      </c>
      <c r="P11" s="406">
        <v>346</v>
      </c>
      <c r="Q11" s="421">
        <v>4325.21</v>
      </c>
      <c r="R11" s="421">
        <v>4094</v>
      </c>
      <c r="S11" s="1012">
        <v>8293.16</v>
      </c>
      <c r="T11" s="406">
        <v>4622</v>
      </c>
      <c r="U11" s="406">
        <v>2692.13</v>
      </c>
      <c r="V11" s="406">
        <v>1054</v>
      </c>
      <c r="W11" s="406">
        <v>177783.63</v>
      </c>
      <c r="X11" s="406">
        <v>111967</v>
      </c>
      <c r="Y11" s="406">
        <v>351731.49</v>
      </c>
      <c r="Z11" s="406">
        <v>194864</v>
      </c>
      <c r="AA11" s="406">
        <v>10343.4</v>
      </c>
      <c r="AB11" s="406">
        <v>6618</v>
      </c>
      <c r="AC11" s="406">
        <v>15441.1</v>
      </c>
      <c r="AD11" s="406">
        <v>11031</v>
      </c>
      <c r="AE11" s="406">
        <v>42918</v>
      </c>
      <c r="AF11" s="406">
        <v>28133</v>
      </c>
      <c r="AG11" s="406">
        <v>134999.69</v>
      </c>
      <c r="AH11" s="406">
        <v>34103</v>
      </c>
      <c r="AI11" s="406">
        <v>20523.93</v>
      </c>
      <c r="AJ11" s="406">
        <v>22171</v>
      </c>
      <c r="AK11" s="406">
        <v>23176.28</v>
      </c>
      <c r="AL11" s="406">
        <v>11634</v>
      </c>
      <c r="AM11" s="427"/>
      <c r="AN11" s="427"/>
      <c r="AO11" s="428">
        <v>270793.27</v>
      </c>
      <c r="AP11" s="428">
        <v>155947</v>
      </c>
      <c r="AQ11" s="431">
        <v>665.19</v>
      </c>
      <c r="AR11" s="431">
        <v>2000.7</v>
      </c>
      <c r="AS11" s="425">
        <v>21286.73</v>
      </c>
      <c r="AT11" s="425">
        <v>4605</v>
      </c>
      <c r="AU11" s="406">
        <v>80837.009999999995</v>
      </c>
      <c r="AV11" s="406">
        <v>55572</v>
      </c>
      <c r="AW11" s="706">
        <v>1259371.19</v>
      </c>
      <c r="AX11" s="425">
        <v>572180.93999999994</v>
      </c>
    </row>
    <row r="12" spans="1:50" x14ac:dyDescent="0.3">
      <c r="A12" s="350" t="s">
        <v>193</v>
      </c>
      <c r="B12" s="413"/>
      <c r="C12" s="404">
        <v>-7789.18</v>
      </c>
      <c r="D12" s="685">
        <v>-11695</v>
      </c>
      <c r="E12" s="406">
        <v>-584.69000000000005</v>
      </c>
      <c r="F12" s="406">
        <v>-1658</v>
      </c>
      <c r="G12" s="415">
        <v>-587.57000000000005</v>
      </c>
      <c r="H12" s="406">
        <v>-2121</v>
      </c>
      <c r="I12" s="406">
        <v>-15852.17</v>
      </c>
      <c r="J12" s="406">
        <v>-25484</v>
      </c>
      <c r="K12" s="406">
        <v>-1674.66</v>
      </c>
      <c r="L12" s="406">
        <v>-926</v>
      </c>
      <c r="M12" s="418">
        <v>-3203.2</v>
      </c>
      <c r="N12" s="418">
        <v>-2414</v>
      </c>
      <c r="O12" s="406">
        <v>-116</v>
      </c>
      <c r="P12" s="406">
        <v>-46</v>
      </c>
      <c r="Q12" s="421">
        <v>-1147.5899999999999</v>
      </c>
      <c r="R12" s="421">
        <v>-3090</v>
      </c>
      <c r="S12" s="1012">
        <v>-201.99</v>
      </c>
      <c r="T12" s="406">
        <v>-3024</v>
      </c>
      <c r="U12" s="406">
        <v>-110.42</v>
      </c>
      <c r="V12" s="406">
        <v>-1321</v>
      </c>
      <c r="W12" s="406">
        <v>-28985.200000000001</v>
      </c>
      <c r="X12" s="406">
        <v>-38001</v>
      </c>
      <c r="Y12" s="406">
        <v>-12073.85</v>
      </c>
      <c r="Z12" s="406">
        <v>-73350</v>
      </c>
      <c r="AA12" s="406">
        <v>-208.33</v>
      </c>
      <c r="AB12" s="406">
        <v>-2022</v>
      </c>
      <c r="AC12" s="406">
        <v>-1926.95</v>
      </c>
      <c r="AD12" s="406">
        <v>-10410</v>
      </c>
      <c r="AE12" s="406">
        <v>-4901.6899999999996</v>
      </c>
      <c r="AF12" s="406">
        <v>-15171</v>
      </c>
      <c r="AG12" s="406">
        <v>-19122.580000000002</v>
      </c>
      <c r="AH12" s="406">
        <v>-82500</v>
      </c>
      <c r="AI12" s="406">
        <v>-5304.57</v>
      </c>
      <c r="AJ12" s="406">
        <v>-7225</v>
      </c>
      <c r="AK12" s="406">
        <v>-2025.58</v>
      </c>
      <c r="AL12" s="406">
        <v>-8168</v>
      </c>
      <c r="AM12" s="427"/>
      <c r="AN12" s="427"/>
      <c r="AO12" s="428">
        <v>-21705.56</v>
      </c>
      <c r="AP12" s="428">
        <v>-134098</v>
      </c>
      <c r="AQ12" s="431">
        <v>-80.38</v>
      </c>
      <c r="AR12" s="431">
        <v>-1252.8</v>
      </c>
      <c r="AS12" s="425">
        <v>-977.23</v>
      </c>
      <c r="AT12" s="425">
        <v>-5485</v>
      </c>
      <c r="AU12" s="406">
        <v>-3367.93</v>
      </c>
      <c r="AV12" s="406">
        <v>-20286</v>
      </c>
      <c r="AW12" s="706">
        <v>-122621.07</v>
      </c>
      <c r="AX12" s="425">
        <v>-64549</v>
      </c>
    </row>
    <row r="13" spans="1:50" x14ac:dyDescent="0.3">
      <c r="A13" s="350" t="s">
        <v>194</v>
      </c>
      <c r="B13" s="413"/>
      <c r="C13" s="404">
        <v>55532.09</v>
      </c>
      <c r="D13" s="685">
        <v>-188693</v>
      </c>
      <c r="E13" s="406">
        <v>2415.9499999999998</v>
      </c>
      <c r="F13" s="406">
        <v>-5186</v>
      </c>
      <c r="G13" s="415">
        <v>10085.4</v>
      </c>
      <c r="H13" s="406">
        <v>-32576</v>
      </c>
      <c r="I13" s="406">
        <v>119740.92</v>
      </c>
      <c r="J13" s="406">
        <v>-280288</v>
      </c>
      <c r="K13" s="406">
        <v>3355.96</v>
      </c>
      <c r="L13" s="406">
        <v>-14214</v>
      </c>
      <c r="M13" s="418">
        <v>27104.33</v>
      </c>
      <c r="N13" s="418">
        <v>-115129</v>
      </c>
      <c r="O13" s="406">
        <v>1242</v>
      </c>
      <c r="P13" s="406">
        <v>-2910</v>
      </c>
      <c r="Q13" s="421">
        <v>6812.3</v>
      </c>
      <c r="R13" s="421">
        <v>-15626</v>
      </c>
      <c r="S13" s="1012">
        <v>5675.94</v>
      </c>
      <c r="T13" s="406">
        <v>-15916</v>
      </c>
      <c r="U13" s="406">
        <v>-397.14</v>
      </c>
      <c r="V13" s="406">
        <v>-4815</v>
      </c>
      <c r="W13" s="406">
        <v>325742.90999999997</v>
      </c>
      <c r="X13" s="406">
        <v>-688745</v>
      </c>
      <c r="Y13" s="406">
        <v>372094</v>
      </c>
      <c r="Z13" s="406">
        <v>-1225431</v>
      </c>
      <c r="AA13" s="406">
        <v>10177.280000000001</v>
      </c>
      <c r="AB13" s="406">
        <v>-37496</v>
      </c>
      <c r="AC13" s="406">
        <v>23020.78</v>
      </c>
      <c r="AD13" s="406">
        <v>-46626</v>
      </c>
      <c r="AE13" s="406">
        <v>51940.19</v>
      </c>
      <c r="AF13" s="406">
        <v>-177195</v>
      </c>
      <c r="AG13" s="406">
        <v>-181.53</v>
      </c>
      <c r="AH13" s="406">
        <v>-175893</v>
      </c>
      <c r="AI13" s="406">
        <v>28488.92</v>
      </c>
      <c r="AJ13" s="406">
        <v>-75105</v>
      </c>
      <c r="AK13" s="406">
        <v>16879.87</v>
      </c>
      <c r="AL13" s="406">
        <v>-54709</v>
      </c>
      <c r="AM13" s="427"/>
      <c r="AN13" s="427"/>
      <c r="AO13" s="428">
        <v>220942.73</v>
      </c>
      <c r="AP13" s="428">
        <v>-991785</v>
      </c>
      <c r="AQ13" s="431"/>
      <c r="AR13" s="431"/>
      <c r="AS13" s="425"/>
      <c r="AT13" s="425"/>
      <c r="AU13" s="406">
        <v>25258.52</v>
      </c>
      <c r="AV13" s="406">
        <v>-264481</v>
      </c>
      <c r="AW13" s="706">
        <v>63410.57</v>
      </c>
      <c r="AX13" s="425">
        <v>-232915</v>
      </c>
    </row>
    <row r="14" spans="1:50" x14ac:dyDescent="0.3">
      <c r="A14" s="350" t="s">
        <v>195</v>
      </c>
      <c r="B14" s="413"/>
      <c r="C14" s="404"/>
      <c r="D14" s="685">
        <v>5889</v>
      </c>
      <c r="E14" s="406">
        <v>555</v>
      </c>
      <c r="F14" s="406">
        <v>690</v>
      </c>
      <c r="G14" s="415"/>
      <c r="H14" s="406"/>
      <c r="I14" s="406">
        <v>2808.83</v>
      </c>
      <c r="J14" s="406">
        <v>6319</v>
      </c>
      <c r="K14" s="406"/>
      <c r="L14" s="406">
        <v>1337</v>
      </c>
      <c r="M14" s="418"/>
      <c r="N14" s="418">
        <v>3045</v>
      </c>
      <c r="O14" s="406">
        <v>-237</v>
      </c>
      <c r="P14" s="406">
        <v>-162</v>
      </c>
      <c r="Q14" s="421"/>
      <c r="R14" s="421"/>
      <c r="S14" s="1012"/>
      <c r="T14" s="406">
        <v>936</v>
      </c>
      <c r="U14" s="406"/>
      <c r="V14" s="406">
        <v>271</v>
      </c>
      <c r="W14" s="406"/>
      <c r="X14" s="406"/>
      <c r="Y14" s="406">
        <v>9248.4599999999991</v>
      </c>
      <c r="Z14" s="406">
        <v>12482</v>
      </c>
      <c r="AA14" s="424">
        <v>120.13</v>
      </c>
      <c r="AB14" s="424">
        <v>423</v>
      </c>
      <c r="AC14" s="406">
        <v>-393.93</v>
      </c>
      <c r="AD14" s="406">
        <v>1070</v>
      </c>
      <c r="AE14" s="1198">
        <v>1298</v>
      </c>
      <c r="AF14" s="1198">
        <v>4154</v>
      </c>
      <c r="AG14" s="406"/>
      <c r="AH14" s="406">
        <v>5807</v>
      </c>
      <c r="AI14" s="406">
        <v>376.13</v>
      </c>
      <c r="AJ14" s="406">
        <v>1862</v>
      </c>
      <c r="AK14" s="406">
        <v>687.45</v>
      </c>
      <c r="AL14" s="406">
        <v>1000</v>
      </c>
      <c r="AM14" s="427"/>
      <c r="AN14" s="427"/>
      <c r="AO14" s="428"/>
      <c r="AP14" s="428">
        <v>1417</v>
      </c>
      <c r="AQ14" s="431">
        <v>-272.83</v>
      </c>
      <c r="AR14" s="431">
        <v>-3381.18</v>
      </c>
      <c r="AS14" s="425">
        <v>105</v>
      </c>
      <c r="AT14" s="425">
        <v>2178</v>
      </c>
      <c r="AU14" s="406">
        <v>4005.84</v>
      </c>
      <c r="AV14" s="406">
        <v>11232</v>
      </c>
      <c r="AW14" s="415"/>
      <c r="AX14" s="406"/>
    </row>
    <row r="15" spans="1:50" ht="17.25" x14ac:dyDescent="0.35">
      <c r="A15" s="350" t="s">
        <v>251</v>
      </c>
      <c r="B15" s="413"/>
      <c r="C15" s="405"/>
      <c r="D15" s="686"/>
      <c r="E15" s="407"/>
      <c r="F15" s="407"/>
      <c r="G15" s="416"/>
      <c r="H15" s="407"/>
      <c r="I15" s="407"/>
      <c r="J15" s="407"/>
      <c r="K15" s="407"/>
      <c r="L15" s="407"/>
      <c r="M15" s="419"/>
      <c r="N15" s="419"/>
      <c r="O15" s="407"/>
      <c r="P15" s="407"/>
      <c r="Q15" s="422"/>
      <c r="R15" s="422"/>
      <c r="S15" s="213"/>
      <c r="T15" s="407"/>
      <c r="U15" s="407"/>
      <c r="V15" s="407">
        <v>215</v>
      </c>
      <c r="W15" s="407"/>
      <c r="X15" s="407"/>
      <c r="Y15" s="407"/>
      <c r="Z15" s="407"/>
      <c r="AA15" s="424"/>
      <c r="AB15" s="424"/>
      <c r="AC15" s="407"/>
      <c r="AD15" s="407"/>
      <c r="AE15" s="426"/>
      <c r="AF15" s="426"/>
      <c r="AG15" s="407"/>
      <c r="AH15" s="407"/>
      <c r="AI15" s="407"/>
      <c r="AJ15" s="407"/>
      <c r="AK15" s="407"/>
      <c r="AL15" s="407"/>
      <c r="AM15" s="427"/>
      <c r="AN15" s="427"/>
      <c r="AO15" s="428"/>
      <c r="AP15" s="428"/>
      <c r="AQ15" s="431">
        <v>1821.09</v>
      </c>
      <c r="AR15" s="431">
        <v>1096.6600000000001</v>
      </c>
      <c r="AS15" s="425">
        <v>-2288.4499999999998</v>
      </c>
      <c r="AT15" s="425">
        <v>-16914</v>
      </c>
      <c r="AU15" s="407"/>
      <c r="AV15" s="407"/>
      <c r="AW15" s="416"/>
      <c r="AX15" s="407"/>
    </row>
    <row r="16" spans="1:50" x14ac:dyDescent="0.3">
      <c r="A16" s="408" t="s">
        <v>196</v>
      </c>
      <c r="B16" s="413"/>
      <c r="C16" s="404"/>
      <c r="D16" s="685"/>
      <c r="E16" s="406"/>
      <c r="F16" s="406"/>
      <c r="G16" s="415"/>
      <c r="H16" s="406"/>
      <c r="I16" s="406"/>
      <c r="J16" s="406"/>
      <c r="K16" s="406"/>
      <c r="L16" s="406"/>
      <c r="M16" s="418"/>
      <c r="N16" s="418"/>
      <c r="O16" s="406"/>
      <c r="P16" s="406"/>
      <c r="Q16" s="421"/>
      <c r="R16" s="421"/>
      <c r="S16" s="1012"/>
      <c r="T16" s="406"/>
      <c r="U16" s="406"/>
      <c r="V16" s="406"/>
      <c r="W16" s="406"/>
      <c r="X16" s="406"/>
      <c r="Y16" s="406"/>
      <c r="Z16" s="406"/>
      <c r="AA16" s="424"/>
      <c r="AB16" s="424"/>
      <c r="AC16" s="406"/>
      <c r="AD16" s="406"/>
      <c r="AE16" s="406"/>
      <c r="AF16" s="406"/>
      <c r="AG16" s="406"/>
      <c r="AH16" s="406"/>
      <c r="AI16" s="406"/>
      <c r="AJ16" s="406"/>
      <c r="AK16" s="406"/>
      <c r="AL16" s="406"/>
      <c r="AM16" s="427"/>
      <c r="AN16" s="427"/>
      <c r="AO16" s="400"/>
      <c r="AP16" s="400"/>
      <c r="AQ16" s="431"/>
      <c r="AR16" s="431"/>
      <c r="AS16" s="425"/>
      <c r="AT16" s="425"/>
      <c r="AU16" s="406"/>
      <c r="AV16" s="406"/>
      <c r="AW16" s="415"/>
      <c r="AX16" s="406">
        <v>16009</v>
      </c>
    </row>
    <row r="17" spans="1:50" x14ac:dyDescent="0.3">
      <c r="A17" s="350" t="s">
        <v>197</v>
      </c>
      <c r="B17" s="413"/>
      <c r="C17" s="404">
        <v>10197.92</v>
      </c>
      <c r="D17" s="685">
        <v>5083</v>
      </c>
      <c r="E17" s="406"/>
      <c r="F17" s="406">
        <v>2494</v>
      </c>
      <c r="G17" s="415"/>
      <c r="H17" s="406">
        <f>30+1181</f>
        <v>1211</v>
      </c>
      <c r="I17" s="406">
        <v>1165.19</v>
      </c>
      <c r="J17" s="406"/>
      <c r="K17" s="406"/>
      <c r="L17" s="406"/>
      <c r="M17" s="418">
        <v>11407.44</v>
      </c>
      <c r="N17" s="418"/>
      <c r="O17" s="406">
        <f>1013+1594</f>
        <v>2607</v>
      </c>
      <c r="P17" s="406">
        <v>1080</v>
      </c>
      <c r="Q17" s="421">
        <v>5975.27</v>
      </c>
      <c r="R17" s="421">
        <v>6939</v>
      </c>
      <c r="S17" s="1012">
        <v>10770.64</v>
      </c>
      <c r="T17" s="406">
        <v>5166</v>
      </c>
      <c r="U17" s="406">
        <v>2831.47</v>
      </c>
      <c r="V17" s="406">
        <v>5426</v>
      </c>
      <c r="W17" s="406">
        <v>8051.21</v>
      </c>
      <c r="X17" s="406"/>
      <c r="Y17" s="406">
        <v>88759.18</v>
      </c>
      <c r="Z17" s="406">
        <v>29212</v>
      </c>
      <c r="AA17" s="424"/>
      <c r="AB17" s="424"/>
      <c r="AC17" s="406">
        <v>15520.03</v>
      </c>
      <c r="AD17" s="406">
        <v>6116.79</v>
      </c>
      <c r="AE17" s="406"/>
      <c r="AF17" s="406"/>
      <c r="AG17" s="406"/>
      <c r="AH17" s="406"/>
      <c r="AI17" s="406">
        <v>17865.330000000002</v>
      </c>
      <c r="AJ17" s="406">
        <v>2971</v>
      </c>
      <c r="AK17" s="406">
        <v>7849.68</v>
      </c>
      <c r="AL17" s="406">
        <v>287</v>
      </c>
      <c r="AM17" s="427"/>
      <c r="AN17" s="427"/>
      <c r="AO17" s="400"/>
      <c r="AP17" s="400"/>
      <c r="AQ17" s="431">
        <v>46.95</v>
      </c>
      <c r="AR17" s="431"/>
      <c r="AS17" s="425"/>
      <c r="AT17" s="425"/>
      <c r="AU17" s="406">
        <v>14046.55</v>
      </c>
      <c r="AV17" s="406">
        <v>21389</v>
      </c>
      <c r="AW17" s="415">
        <f>-6.25+14360.93</f>
        <v>14354.68</v>
      </c>
      <c r="AX17" s="406"/>
    </row>
    <row r="18" spans="1:50" x14ac:dyDescent="0.3">
      <c r="A18" s="350" t="s">
        <v>198</v>
      </c>
      <c r="B18" s="413"/>
      <c r="C18" s="404"/>
      <c r="D18" s="685"/>
      <c r="E18" s="406"/>
      <c r="F18" s="406"/>
      <c r="G18" s="415"/>
      <c r="H18" s="406"/>
      <c r="I18" s="406">
        <v>296.18</v>
      </c>
      <c r="J18" s="406">
        <v>276</v>
      </c>
      <c r="K18" s="406"/>
      <c r="L18" s="406"/>
      <c r="M18" s="418"/>
      <c r="N18" s="418"/>
      <c r="O18" s="406"/>
      <c r="P18" s="406"/>
      <c r="Q18" s="421">
        <v>2.2400000000000002</v>
      </c>
      <c r="R18" s="421">
        <v>2</v>
      </c>
      <c r="S18" s="1012"/>
      <c r="T18" s="406"/>
      <c r="U18" s="406"/>
      <c r="V18" s="406"/>
      <c r="W18" s="406">
        <v>628.86</v>
      </c>
      <c r="X18" s="406">
        <v>726</v>
      </c>
      <c r="Y18" s="406">
        <v>853.61</v>
      </c>
      <c r="Z18" s="406">
        <v>1115</v>
      </c>
      <c r="AA18" s="424"/>
      <c r="AB18" s="424"/>
      <c r="AC18" s="406"/>
      <c r="AD18" s="406"/>
      <c r="AE18" s="406">
        <v>26</v>
      </c>
      <c r="AF18" s="406">
        <v>54</v>
      </c>
      <c r="AG18" s="406"/>
      <c r="AH18" s="406"/>
      <c r="AI18" s="406"/>
      <c r="AJ18" s="406">
        <v>419</v>
      </c>
      <c r="AK18" s="406"/>
      <c r="AL18" s="406"/>
      <c r="AM18" s="427"/>
      <c r="AN18" s="427"/>
      <c r="AO18" s="428">
        <v>293.26</v>
      </c>
      <c r="AP18" s="428">
        <v>258</v>
      </c>
      <c r="AQ18" s="431"/>
      <c r="AR18" s="431"/>
      <c r="AS18" s="425"/>
      <c r="AT18" s="425"/>
      <c r="AU18" s="406"/>
      <c r="AV18" s="406"/>
      <c r="AW18" s="415"/>
      <c r="AX18" s="406"/>
    </row>
    <row r="19" spans="1:50" x14ac:dyDescent="0.3">
      <c r="A19" s="350" t="s">
        <v>199</v>
      </c>
      <c r="B19" s="413"/>
      <c r="C19" s="404">
        <v>1156.1400000000001</v>
      </c>
      <c r="D19" s="685">
        <v>1008</v>
      </c>
      <c r="E19" s="406">
        <f>6.5+1.79</f>
        <v>8.2899999999999991</v>
      </c>
      <c r="F19" s="406">
        <v>8</v>
      </c>
      <c r="G19" s="415">
        <f>77.2+37.9+1360.05</f>
        <v>1475.1499999999999</v>
      </c>
      <c r="H19" s="406">
        <v>79</v>
      </c>
      <c r="I19" s="406">
        <v>19101.77</v>
      </c>
      <c r="J19" s="406">
        <v>2577</v>
      </c>
      <c r="K19" s="406">
        <f>75.55+304.42</f>
        <v>379.97</v>
      </c>
      <c r="L19" s="406">
        <f>137+43</f>
        <v>180</v>
      </c>
      <c r="M19" s="418">
        <v>76.260000000000005</v>
      </c>
      <c r="N19" s="418">
        <v>83</v>
      </c>
      <c r="O19" s="406">
        <f>129+31</f>
        <v>160</v>
      </c>
      <c r="P19" s="406">
        <f>191+11</f>
        <v>202</v>
      </c>
      <c r="Q19" s="421">
        <v>38.799999999999997</v>
      </c>
      <c r="R19" s="421">
        <v>85</v>
      </c>
      <c r="S19" s="1012">
        <v>58.66</v>
      </c>
      <c r="T19" s="406">
        <v>1391</v>
      </c>
      <c r="U19" s="406">
        <f>142.56-13.79</f>
        <v>128.77000000000001</v>
      </c>
      <c r="V19" s="406"/>
      <c r="W19" s="406">
        <v>1546.48</v>
      </c>
      <c r="X19" s="406">
        <v>3767</v>
      </c>
      <c r="Y19" s="406">
        <f>1438.49+141.28</f>
        <v>1579.77</v>
      </c>
      <c r="Z19" s="406">
        <f>2195+22</f>
        <v>2217</v>
      </c>
      <c r="AA19" s="424"/>
      <c r="AB19" s="424">
        <v>56</v>
      </c>
      <c r="AC19" s="406">
        <v>152</v>
      </c>
      <c r="AD19" s="406">
        <v>170.94</v>
      </c>
      <c r="AE19" s="406">
        <f>215.78+3.35</f>
        <v>219.13</v>
      </c>
      <c r="AF19" s="406">
        <f>16+12</f>
        <v>28</v>
      </c>
      <c r="AG19" s="406">
        <v>111963</v>
      </c>
      <c r="AH19" s="406">
        <v>1383</v>
      </c>
      <c r="AI19" s="406">
        <f>259.89+39.55-16.01</f>
        <v>283.43</v>
      </c>
      <c r="AJ19" s="406">
        <v>71</v>
      </c>
      <c r="AK19" s="406">
        <v>293.57</v>
      </c>
      <c r="AL19" s="406">
        <v>554</v>
      </c>
      <c r="AM19" s="427"/>
      <c r="AN19" s="427"/>
      <c r="AO19" s="428">
        <v>1151.71</v>
      </c>
      <c r="AP19" s="428">
        <v>819</v>
      </c>
      <c r="AQ19" s="431">
        <f>163.77+35.39+68.93</f>
        <v>268.09000000000003</v>
      </c>
      <c r="AR19" s="431">
        <f>57+238.83+104.04</f>
        <v>399.87000000000006</v>
      </c>
      <c r="AS19" s="425">
        <v>65.37</v>
      </c>
      <c r="AT19" s="425">
        <v>104</v>
      </c>
      <c r="AU19" s="406">
        <f>82.74+858.6-5.13+3.08+912.59</f>
        <v>1851.88</v>
      </c>
      <c r="AV19" s="406">
        <f>141+895+13+1152</f>
        <v>2201</v>
      </c>
      <c r="AW19" s="415"/>
      <c r="AX19" s="406"/>
    </row>
    <row r="20" spans="1:50" ht="17.25" x14ac:dyDescent="0.35">
      <c r="A20" s="408" t="s">
        <v>189</v>
      </c>
      <c r="B20" s="413"/>
      <c r="C20" s="405"/>
      <c r="D20" s="686"/>
      <c r="E20" s="407"/>
      <c r="F20" s="407"/>
      <c r="G20" s="416"/>
      <c r="H20" s="407"/>
      <c r="I20" s="407"/>
      <c r="J20" s="407"/>
      <c r="K20" s="407"/>
      <c r="L20" s="407"/>
      <c r="M20" s="419"/>
      <c r="N20" s="419"/>
      <c r="O20" s="407"/>
      <c r="P20" s="407"/>
      <c r="Q20" s="422"/>
      <c r="R20" s="422"/>
      <c r="S20" s="213"/>
      <c r="T20" s="407"/>
      <c r="U20" s="407"/>
      <c r="V20" s="407"/>
      <c r="W20" s="407"/>
      <c r="X20" s="407"/>
      <c r="Y20" s="407"/>
      <c r="Z20" s="407"/>
      <c r="AA20" s="424"/>
      <c r="AB20" s="424"/>
      <c r="AC20" s="407"/>
      <c r="AD20" s="407"/>
      <c r="AE20" s="426"/>
      <c r="AF20" s="426"/>
      <c r="AG20" s="407"/>
      <c r="AH20" s="407"/>
      <c r="AI20" s="407"/>
      <c r="AJ20" s="407"/>
      <c r="AK20" s="407"/>
      <c r="AL20" s="407"/>
      <c r="AM20" s="427"/>
      <c r="AN20" s="427"/>
      <c r="AO20" s="429"/>
      <c r="AP20" s="429"/>
      <c r="AQ20" s="431"/>
      <c r="AR20" s="431"/>
      <c r="AS20" s="425"/>
      <c r="AT20" s="425"/>
      <c r="AU20" s="407"/>
      <c r="AV20" s="407"/>
      <c r="AW20" s="416"/>
      <c r="AX20" s="407"/>
    </row>
    <row r="21" spans="1:50" s="778" customFormat="1" ht="18" x14ac:dyDescent="0.35">
      <c r="A21" s="766" t="s">
        <v>20</v>
      </c>
      <c r="B21" s="767"/>
      <c r="C21" s="768">
        <v>356468.91</v>
      </c>
      <c r="D21" s="769">
        <v>172088</v>
      </c>
      <c r="E21" s="770">
        <v>20862.36</v>
      </c>
      <c r="F21" s="770">
        <v>9692</v>
      </c>
      <c r="G21" s="771">
        <v>56432.72</v>
      </c>
      <c r="H21" s="770">
        <v>13710</v>
      </c>
      <c r="I21" s="770">
        <v>543593.01</v>
      </c>
      <c r="J21" s="770">
        <v>279129</v>
      </c>
      <c r="K21" s="770">
        <v>69359.509999999995</v>
      </c>
      <c r="L21" s="770">
        <v>55001</v>
      </c>
      <c r="M21" s="772">
        <v>220822.6</v>
      </c>
      <c r="N21" s="772">
        <v>34314</v>
      </c>
      <c r="O21" s="770">
        <v>34385</v>
      </c>
      <c r="P21" s="770">
        <v>35185</v>
      </c>
      <c r="Q21" s="773">
        <v>42832.71</v>
      </c>
      <c r="R21" s="773">
        <v>23789</v>
      </c>
      <c r="S21" s="1013">
        <v>109984.66</v>
      </c>
      <c r="T21" s="770">
        <v>82486</v>
      </c>
      <c r="U21" s="770">
        <v>35147.69</v>
      </c>
      <c r="V21" s="770">
        <v>39283</v>
      </c>
      <c r="W21" s="770">
        <v>1460430.58</v>
      </c>
      <c r="X21" s="770">
        <v>583024</v>
      </c>
      <c r="Y21" s="770">
        <v>1672405.25</v>
      </c>
      <c r="Z21" s="770">
        <v>-146119</v>
      </c>
      <c r="AA21" s="791">
        <v>67769.42</v>
      </c>
      <c r="AB21" s="791">
        <v>21331</v>
      </c>
      <c r="AC21" s="770">
        <v>151886.24</v>
      </c>
      <c r="AD21" s="770">
        <v>73260.240000000005</v>
      </c>
      <c r="AE21" s="770">
        <v>307952</v>
      </c>
      <c r="AF21" s="770">
        <v>122411</v>
      </c>
      <c r="AG21" s="770">
        <v>582504.43000000005</v>
      </c>
      <c r="AH21" s="770">
        <v>319763</v>
      </c>
      <c r="AI21" s="770">
        <v>207282.9</v>
      </c>
      <c r="AJ21" s="770">
        <v>125496</v>
      </c>
      <c r="AK21" s="770">
        <v>165939.67000000001</v>
      </c>
      <c r="AL21" s="770">
        <v>90435</v>
      </c>
      <c r="AM21" s="775"/>
      <c r="AN21" s="775"/>
      <c r="AO21" s="776">
        <v>1573691.19</v>
      </c>
      <c r="AP21" s="776">
        <v>464112</v>
      </c>
      <c r="AQ21" s="777">
        <v>44484.93</v>
      </c>
      <c r="AR21" s="777">
        <v>49555.040000000001</v>
      </c>
      <c r="AS21" s="774">
        <v>92716.78</v>
      </c>
      <c r="AT21" s="774">
        <v>109175</v>
      </c>
      <c r="AU21" s="770">
        <v>370598.27</v>
      </c>
      <c r="AV21" s="770">
        <v>159066</v>
      </c>
      <c r="AW21" s="792">
        <v>15415326.16</v>
      </c>
      <c r="AX21" s="793">
        <v>16808266</v>
      </c>
    </row>
    <row r="22" spans="1:50" x14ac:dyDescent="0.3">
      <c r="A22" s="350" t="s">
        <v>59</v>
      </c>
      <c r="B22" s="408" t="s">
        <v>200</v>
      </c>
      <c r="C22" s="404">
        <v>9443.44</v>
      </c>
      <c r="D22" s="685">
        <v>11447</v>
      </c>
      <c r="E22" s="406">
        <v>122.82</v>
      </c>
      <c r="F22" s="406">
        <v>26</v>
      </c>
      <c r="G22" s="415">
        <v>480.29</v>
      </c>
      <c r="H22" s="406">
        <v>79</v>
      </c>
      <c r="I22" s="406">
        <v>10857.83</v>
      </c>
      <c r="J22" s="406">
        <v>19627</v>
      </c>
      <c r="K22" s="406">
        <v>2738.25</v>
      </c>
      <c r="L22" s="406">
        <v>3376</v>
      </c>
      <c r="M22" s="418">
        <v>3650.38</v>
      </c>
      <c r="N22" s="418">
        <v>5969</v>
      </c>
      <c r="O22" s="406">
        <v>615</v>
      </c>
      <c r="P22" s="406">
        <v>991</v>
      </c>
      <c r="Q22" s="421">
        <v>1513.28</v>
      </c>
      <c r="R22" s="421">
        <v>1795</v>
      </c>
      <c r="S22" s="1012">
        <v>3910.46</v>
      </c>
      <c r="T22" s="406">
        <v>3459</v>
      </c>
      <c r="U22" s="406">
        <v>480.69</v>
      </c>
      <c r="V22" s="406">
        <v>881</v>
      </c>
      <c r="W22" s="406">
        <v>30226.240000000002</v>
      </c>
      <c r="X22" s="406">
        <v>36586</v>
      </c>
      <c r="Y22" s="406">
        <v>27056.67</v>
      </c>
      <c r="Z22" s="406">
        <v>30591</v>
      </c>
      <c r="AA22" s="424">
        <v>995.38</v>
      </c>
      <c r="AB22" s="424">
        <v>1416</v>
      </c>
      <c r="AC22" s="406">
        <v>2992.7</v>
      </c>
      <c r="AD22" s="406">
        <v>5190</v>
      </c>
      <c r="AE22" s="406">
        <v>6284.51</v>
      </c>
      <c r="AF22" s="406">
        <v>9800</v>
      </c>
      <c r="AG22" s="406">
        <v>20876.03</v>
      </c>
      <c r="AH22" s="406">
        <v>24746</v>
      </c>
      <c r="AI22" s="406">
        <v>5877.05</v>
      </c>
      <c r="AJ22" s="406">
        <v>7742</v>
      </c>
      <c r="AK22" s="406">
        <v>2702.06</v>
      </c>
      <c r="AL22" s="406">
        <v>3577</v>
      </c>
      <c r="AM22" s="427"/>
      <c r="AN22" s="427"/>
      <c r="AO22" s="428">
        <v>26989.75</v>
      </c>
      <c r="AP22" s="428">
        <v>52760</v>
      </c>
      <c r="AQ22" s="431">
        <v>1966.05</v>
      </c>
      <c r="AR22" s="431">
        <v>2313.02</v>
      </c>
      <c r="AS22" s="425">
        <v>4434.51</v>
      </c>
      <c r="AT22" s="425">
        <v>4836</v>
      </c>
      <c r="AU22" s="406">
        <v>17386.689999999999</v>
      </c>
      <c r="AV22" s="406">
        <v>29118</v>
      </c>
      <c r="AW22" s="706">
        <v>418766.94</v>
      </c>
      <c r="AX22" s="425">
        <v>502538</v>
      </c>
    </row>
    <row r="23" spans="1:50" x14ac:dyDescent="0.3">
      <c r="A23" s="350" t="s">
        <v>201</v>
      </c>
      <c r="B23" s="408" t="s">
        <v>202</v>
      </c>
      <c r="C23" s="404">
        <v>28372.32</v>
      </c>
      <c r="D23" s="685">
        <v>43319</v>
      </c>
      <c r="E23" s="406">
        <v>4563.09</v>
      </c>
      <c r="F23" s="406">
        <v>3891</v>
      </c>
      <c r="G23" s="415">
        <v>6575.02</v>
      </c>
      <c r="H23" s="406">
        <v>6808</v>
      </c>
      <c r="I23" s="406">
        <v>52484.58</v>
      </c>
      <c r="J23" s="406">
        <v>77653</v>
      </c>
      <c r="K23" s="406">
        <v>18488.97</v>
      </c>
      <c r="L23" s="406">
        <v>23589</v>
      </c>
      <c r="M23" s="418">
        <v>14992.56</v>
      </c>
      <c r="N23" s="418">
        <v>18609</v>
      </c>
      <c r="O23" s="406">
        <v>6401</v>
      </c>
      <c r="P23" s="406">
        <v>6731</v>
      </c>
      <c r="Q23" s="421">
        <v>11410.11</v>
      </c>
      <c r="R23" s="421">
        <v>12158</v>
      </c>
      <c r="S23" s="1012">
        <v>15195.61</v>
      </c>
      <c r="T23" s="406">
        <v>16234</v>
      </c>
      <c r="U23" s="406">
        <v>9468.39</v>
      </c>
      <c r="V23" s="406">
        <v>12691</v>
      </c>
      <c r="W23" s="406">
        <v>95123.01</v>
      </c>
      <c r="X23" s="406">
        <v>139535</v>
      </c>
      <c r="Y23" s="406">
        <v>76792.41</v>
      </c>
      <c r="Z23" s="406">
        <v>91837</v>
      </c>
      <c r="AA23" s="424">
        <v>5997.14</v>
      </c>
      <c r="AB23" s="424">
        <v>7149</v>
      </c>
      <c r="AC23" s="406">
        <v>14413.55</v>
      </c>
      <c r="AD23" s="406">
        <v>19883</v>
      </c>
      <c r="AE23" s="406">
        <v>32413.38</v>
      </c>
      <c r="AF23" s="406">
        <v>37897</v>
      </c>
      <c r="AG23" s="406">
        <v>60499.86</v>
      </c>
      <c r="AH23" s="406">
        <v>69204</v>
      </c>
      <c r="AI23" s="406">
        <v>24964.42</v>
      </c>
      <c r="AJ23" s="406">
        <v>31584</v>
      </c>
      <c r="AK23" s="406">
        <v>26780.5</v>
      </c>
      <c r="AL23" s="406">
        <v>28981</v>
      </c>
      <c r="AM23" s="427"/>
      <c r="AN23" s="427"/>
      <c r="AO23" s="428">
        <v>60545.5</v>
      </c>
      <c r="AP23" s="428">
        <v>74566</v>
      </c>
      <c r="AQ23" s="431">
        <v>11413.95</v>
      </c>
      <c r="AR23" s="431">
        <v>12173.98</v>
      </c>
      <c r="AS23" s="425">
        <v>9081.66</v>
      </c>
      <c r="AT23" s="425">
        <v>15423</v>
      </c>
      <c r="AU23" s="406">
        <v>47351.22</v>
      </c>
      <c r="AV23" s="406">
        <v>84163</v>
      </c>
      <c r="AW23" s="706">
        <v>878374.43</v>
      </c>
      <c r="AX23" s="425">
        <v>934343</v>
      </c>
    </row>
    <row r="24" spans="1:50" x14ac:dyDescent="0.3">
      <c r="A24" s="350" t="s">
        <v>247</v>
      </c>
      <c r="B24" s="408"/>
      <c r="C24" s="404"/>
      <c r="D24" s="685"/>
      <c r="E24" s="406"/>
      <c r="F24" s="406"/>
      <c r="G24" s="415"/>
      <c r="H24" s="406"/>
      <c r="I24" s="406"/>
      <c r="J24" s="406"/>
      <c r="K24" s="406"/>
      <c r="L24" s="406"/>
      <c r="M24" s="418"/>
      <c r="N24" s="418"/>
      <c r="O24" s="406"/>
      <c r="P24" s="406"/>
      <c r="Q24" s="421"/>
      <c r="R24" s="421"/>
      <c r="S24" s="1012"/>
      <c r="T24" s="406"/>
      <c r="U24" s="406"/>
      <c r="V24" s="406"/>
      <c r="W24" s="406"/>
      <c r="X24" s="406"/>
      <c r="Y24" s="406"/>
      <c r="Z24" s="406"/>
      <c r="AA24" s="424"/>
      <c r="AB24" s="424"/>
      <c r="AC24" s="406"/>
      <c r="AD24" s="406"/>
      <c r="AE24" s="406"/>
      <c r="AF24" s="406"/>
      <c r="AG24" s="406"/>
      <c r="AH24" s="406"/>
      <c r="AI24" s="406"/>
      <c r="AJ24" s="406"/>
      <c r="AK24" s="406"/>
      <c r="AL24" s="406"/>
      <c r="AM24" s="427"/>
      <c r="AN24" s="427"/>
      <c r="AO24" s="428"/>
      <c r="AP24" s="428"/>
      <c r="AQ24" s="431"/>
      <c r="AR24" s="431"/>
      <c r="AS24" s="425"/>
      <c r="AT24" s="425"/>
      <c r="AU24" s="406"/>
      <c r="AV24" s="406"/>
      <c r="AW24" s="706">
        <v>-137.29</v>
      </c>
      <c r="AX24" s="425"/>
    </row>
    <row r="25" spans="1:50" x14ac:dyDescent="0.3">
      <c r="A25" s="350" t="s">
        <v>203</v>
      </c>
      <c r="B25" s="413"/>
      <c r="C25" s="404">
        <v>-36.46</v>
      </c>
      <c r="D25" s="685">
        <v>3</v>
      </c>
      <c r="E25" s="406">
        <v>2.7</v>
      </c>
      <c r="F25" s="406"/>
      <c r="G25" s="415">
        <v>48.65</v>
      </c>
      <c r="H25" s="406">
        <v>86</v>
      </c>
      <c r="I25" s="406">
        <v>20.260000000000002</v>
      </c>
      <c r="J25" s="406">
        <v>26</v>
      </c>
      <c r="K25" s="406">
        <v>162.65</v>
      </c>
      <c r="L25" s="406">
        <v>-14</v>
      </c>
      <c r="M25" s="418">
        <v>1427.44</v>
      </c>
      <c r="N25" s="418"/>
      <c r="O25" s="406"/>
      <c r="P25" s="406"/>
      <c r="Q25" s="421">
        <v>20.25</v>
      </c>
      <c r="R25" s="421">
        <v>49</v>
      </c>
      <c r="S25" s="1012"/>
      <c r="T25" s="406"/>
      <c r="U25" s="406">
        <v>-90.98</v>
      </c>
      <c r="V25" s="406">
        <v>22</v>
      </c>
      <c r="W25" s="406"/>
      <c r="X25" s="406"/>
      <c r="Y25" s="406">
        <v>34.57</v>
      </c>
      <c r="Z25" s="406">
        <v>-17</v>
      </c>
      <c r="AA25" s="424">
        <v>1.31</v>
      </c>
      <c r="AB25" s="424">
        <v>1</v>
      </c>
      <c r="AC25" s="406"/>
      <c r="AD25" s="406"/>
      <c r="AE25" s="406"/>
      <c r="AF25" s="406"/>
      <c r="AG25" s="406">
        <v>104.32</v>
      </c>
      <c r="AH25" s="406">
        <v>83</v>
      </c>
      <c r="AI25" s="406"/>
      <c r="AJ25" s="406"/>
      <c r="AK25" s="406">
        <v>-13.98</v>
      </c>
      <c r="AL25" s="406">
        <v>-53</v>
      </c>
      <c r="AM25" s="427"/>
      <c r="AN25" s="427"/>
      <c r="AO25" s="428">
        <v>52.89</v>
      </c>
      <c r="AP25" s="428">
        <v>19</v>
      </c>
      <c r="AQ25" s="431"/>
      <c r="AR25" s="431"/>
      <c r="AS25" s="425">
        <v>11.37</v>
      </c>
      <c r="AT25" s="425">
        <v>4</v>
      </c>
      <c r="AU25" s="406"/>
      <c r="AV25" s="406"/>
      <c r="AW25" s="706">
        <v>-16974.87</v>
      </c>
      <c r="AX25" s="425">
        <v>-15003</v>
      </c>
    </row>
    <row r="26" spans="1:50" ht="17.25" x14ac:dyDescent="0.35">
      <c r="A26" s="350" t="s">
        <v>204</v>
      </c>
      <c r="B26" s="413"/>
      <c r="C26" s="405"/>
      <c r="D26" s="686"/>
      <c r="E26" s="407"/>
      <c r="F26" s="407"/>
      <c r="G26" s="416"/>
      <c r="H26" s="407"/>
      <c r="I26" s="407">
        <v>24.98</v>
      </c>
      <c r="J26" s="407">
        <v>38</v>
      </c>
      <c r="K26" s="407"/>
      <c r="L26" s="407">
        <v>-3</v>
      </c>
      <c r="M26" s="419"/>
      <c r="N26" s="419"/>
      <c r="O26" s="407"/>
      <c r="P26" s="407"/>
      <c r="Q26" s="422"/>
      <c r="R26" s="422"/>
      <c r="S26" s="213"/>
      <c r="T26" s="407"/>
      <c r="U26" s="407">
        <v>-0.03</v>
      </c>
      <c r="V26" s="407"/>
      <c r="W26" s="407"/>
      <c r="X26" s="407"/>
      <c r="Y26" s="407">
        <v>62.18</v>
      </c>
      <c r="Z26" s="407">
        <v>182</v>
      </c>
      <c r="AA26" s="424"/>
      <c r="AB26" s="424"/>
      <c r="AC26" s="407"/>
      <c r="AD26" s="407"/>
      <c r="AE26" s="426"/>
      <c r="AF26" s="426"/>
      <c r="AG26" s="407"/>
      <c r="AH26" s="407"/>
      <c r="AI26" s="407"/>
      <c r="AJ26" s="407"/>
      <c r="AK26" s="407">
        <v>48.25</v>
      </c>
      <c r="AL26" s="407">
        <v>71</v>
      </c>
      <c r="AM26" s="427"/>
      <c r="AN26" s="427"/>
      <c r="AO26" s="430">
        <v>2.89</v>
      </c>
      <c r="AP26" s="430">
        <v>4</v>
      </c>
      <c r="AQ26" s="431"/>
      <c r="AR26" s="431"/>
      <c r="AS26" s="425">
        <v>1.34</v>
      </c>
      <c r="AT26" s="425">
        <v>11</v>
      </c>
      <c r="AU26" s="407"/>
      <c r="AV26" s="407"/>
      <c r="AW26" s="416"/>
      <c r="AX26" s="407"/>
    </row>
    <row r="27" spans="1:50" x14ac:dyDescent="0.3">
      <c r="A27" s="350" t="s">
        <v>205</v>
      </c>
      <c r="B27" s="413"/>
      <c r="C27" s="404">
        <v>988.63</v>
      </c>
      <c r="D27" s="685">
        <v>642</v>
      </c>
      <c r="E27" s="406"/>
      <c r="F27" s="406"/>
      <c r="G27" s="415"/>
      <c r="H27" s="406"/>
      <c r="I27" s="406"/>
      <c r="J27" s="406"/>
      <c r="K27" s="406"/>
      <c r="L27" s="406"/>
      <c r="M27" s="418"/>
      <c r="N27" s="418"/>
      <c r="O27" s="406"/>
      <c r="P27" s="406"/>
      <c r="Q27" s="421"/>
      <c r="R27" s="421"/>
      <c r="S27" s="1012"/>
      <c r="T27" s="406"/>
      <c r="U27" s="406"/>
      <c r="V27" s="406"/>
      <c r="W27" s="406">
        <v>-181.37</v>
      </c>
      <c r="X27" s="406">
        <v>2021</v>
      </c>
      <c r="Y27" s="406"/>
      <c r="Z27" s="406"/>
      <c r="AA27" s="424"/>
      <c r="AB27" s="424"/>
      <c r="AC27" s="406"/>
      <c r="AD27" s="406"/>
      <c r="AE27" s="406">
        <f>2833.77-5230.34</f>
        <v>-2396.5700000000002</v>
      </c>
      <c r="AF27" s="406">
        <v>5464</v>
      </c>
      <c r="AG27" s="406"/>
      <c r="AH27" s="406"/>
      <c r="AI27" s="406"/>
      <c r="AJ27" s="406"/>
      <c r="AK27" s="406"/>
      <c r="AL27" s="406"/>
      <c r="AM27" s="427"/>
      <c r="AN27" s="427"/>
      <c r="AO27" s="400">
        <v>3610.96</v>
      </c>
      <c r="AP27" s="400">
        <v>3344</v>
      </c>
      <c r="AQ27" s="431">
        <v>1736.57</v>
      </c>
      <c r="AR27" s="431">
        <v>2310.85</v>
      </c>
      <c r="AS27" s="425">
        <v>406.28</v>
      </c>
      <c r="AT27" s="425">
        <v>47</v>
      </c>
      <c r="AU27" s="406">
        <v>-2256.7600000000002</v>
      </c>
      <c r="AV27" s="406">
        <v>-346</v>
      </c>
      <c r="AW27" s="706">
        <v>157794.9</v>
      </c>
      <c r="AX27" s="425">
        <v>140387</v>
      </c>
    </row>
    <row r="28" spans="1:50" x14ac:dyDescent="0.3">
      <c r="A28" s="350" t="s">
        <v>206</v>
      </c>
      <c r="B28" s="413"/>
      <c r="C28" s="404"/>
      <c r="D28" s="685"/>
      <c r="E28" s="406"/>
      <c r="F28" s="406"/>
      <c r="G28" s="415"/>
      <c r="H28" s="406"/>
      <c r="I28" s="406"/>
      <c r="J28" s="406">
        <v>-668</v>
      </c>
      <c r="K28" s="406"/>
      <c r="L28" s="406"/>
      <c r="M28" s="418"/>
      <c r="N28" s="418"/>
      <c r="O28" s="406"/>
      <c r="P28" s="406"/>
      <c r="Q28" s="421"/>
      <c r="R28" s="421"/>
      <c r="S28" s="1012"/>
      <c r="T28" s="406"/>
      <c r="U28" s="406"/>
      <c r="V28" s="406"/>
      <c r="W28" s="406"/>
      <c r="X28" s="406"/>
      <c r="Y28" s="406"/>
      <c r="Z28" s="406"/>
      <c r="AA28" s="424"/>
      <c r="AB28" s="424"/>
      <c r="AC28" s="406"/>
      <c r="AD28" s="406"/>
      <c r="AE28" s="406"/>
      <c r="AF28" s="406"/>
      <c r="AG28" s="406"/>
      <c r="AH28" s="406"/>
      <c r="AI28" s="406"/>
      <c r="AJ28" s="406">
        <v>5</v>
      </c>
      <c r="AK28" s="406"/>
      <c r="AL28" s="406"/>
      <c r="AM28" s="427"/>
      <c r="AN28" s="427"/>
      <c r="AO28" s="428"/>
      <c r="AP28" s="428"/>
      <c r="AQ28" s="431"/>
      <c r="AR28" s="431"/>
      <c r="AS28" s="425"/>
      <c r="AT28" s="425"/>
      <c r="AU28" s="406"/>
      <c r="AV28" s="406"/>
      <c r="AW28" s="706"/>
      <c r="AX28" s="425"/>
    </row>
    <row r="29" spans="1:50" x14ac:dyDescent="0.3">
      <c r="A29" s="350" t="s">
        <v>207</v>
      </c>
      <c r="B29" s="413"/>
      <c r="C29" s="404"/>
      <c r="D29" s="685"/>
      <c r="E29" s="406"/>
      <c r="F29" s="406"/>
      <c r="G29" s="415"/>
      <c r="H29" s="406"/>
      <c r="I29" s="406"/>
      <c r="J29" s="406"/>
      <c r="K29" s="406"/>
      <c r="L29" s="406"/>
      <c r="M29" s="418"/>
      <c r="N29" s="418"/>
      <c r="O29" s="406"/>
      <c r="P29" s="406"/>
      <c r="Q29" s="421"/>
      <c r="R29" s="421"/>
      <c r="S29" s="1012"/>
      <c r="T29" s="406"/>
      <c r="U29" s="406"/>
      <c r="V29" s="406"/>
      <c r="W29" s="406"/>
      <c r="X29" s="406"/>
      <c r="Y29" s="406"/>
      <c r="Z29" s="406"/>
      <c r="AA29" s="424"/>
      <c r="AB29" s="424"/>
      <c r="AC29" s="406"/>
      <c r="AD29" s="406"/>
      <c r="AE29" s="406"/>
      <c r="AF29" s="406"/>
      <c r="AG29" s="406"/>
      <c r="AH29" s="406"/>
      <c r="AI29" s="406"/>
      <c r="AJ29" s="406"/>
      <c r="AK29" s="406"/>
      <c r="AL29" s="406"/>
      <c r="AM29" s="427"/>
      <c r="AN29" s="427"/>
      <c r="AO29" s="400"/>
      <c r="AP29" s="400"/>
      <c r="AQ29" s="431"/>
      <c r="AR29" s="431"/>
      <c r="AS29" s="425"/>
      <c r="AT29" s="425"/>
      <c r="AU29" s="406"/>
      <c r="AV29" s="406"/>
      <c r="AW29" s="706"/>
      <c r="AX29" s="425"/>
    </row>
    <row r="30" spans="1:50" x14ac:dyDescent="0.3">
      <c r="A30" s="350" t="s">
        <v>208</v>
      </c>
      <c r="B30" s="413"/>
      <c r="C30" s="404">
        <v>-1.37</v>
      </c>
      <c r="D30" s="685"/>
      <c r="E30" s="406"/>
      <c r="F30" s="406"/>
      <c r="G30" s="415">
        <v>-50.02</v>
      </c>
      <c r="H30" s="406"/>
      <c r="I30" s="406"/>
      <c r="J30" s="406"/>
      <c r="K30" s="406"/>
      <c r="L30" s="406"/>
      <c r="M30" s="418"/>
      <c r="N30" s="418"/>
      <c r="O30" s="406"/>
      <c r="P30" s="406"/>
      <c r="Q30" s="421">
        <v>-482.95</v>
      </c>
      <c r="R30" s="421"/>
      <c r="S30" s="1012"/>
      <c r="T30" s="406"/>
      <c r="U30" s="406"/>
      <c r="V30" s="406"/>
      <c r="W30" s="406">
        <v>-20324.82</v>
      </c>
      <c r="X30" s="406">
        <v>1939</v>
      </c>
      <c r="Z30" s="406"/>
      <c r="AA30" s="424">
        <v>-73.569999999999993</v>
      </c>
      <c r="AB30" s="424">
        <v>-117</v>
      </c>
      <c r="AC30" s="406"/>
      <c r="AD30" s="406">
        <v>-29.34</v>
      </c>
      <c r="AE30" s="406">
        <v>-3.09</v>
      </c>
      <c r="AF30" s="406">
        <v>1229</v>
      </c>
      <c r="AG30" s="406"/>
      <c r="AH30" s="406"/>
      <c r="AI30" s="406"/>
      <c r="AJ30" s="406"/>
      <c r="AK30" s="406"/>
      <c r="AL30" s="406"/>
      <c r="AM30" s="427"/>
      <c r="AN30" s="427"/>
      <c r="AO30" s="428">
        <v>8.98</v>
      </c>
      <c r="AP30" s="428">
        <v>-229</v>
      </c>
      <c r="AQ30" s="431"/>
      <c r="AR30" s="431"/>
      <c r="AS30" s="425"/>
      <c r="AT30" s="425"/>
      <c r="AU30" s="406"/>
      <c r="AV30" s="406"/>
      <c r="AW30" s="706">
        <v>5956.86</v>
      </c>
      <c r="AX30" s="425">
        <v>304008</v>
      </c>
    </row>
    <row r="31" spans="1:50" ht="17.25" x14ac:dyDescent="0.35">
      <c r="A31" s="350" t="s">
        <v>209</v>
      </c>
      <c r="B31" s="413"/>
      <c r="C31" s="405">
        <v>-0.41</v>
      </c>
      <c r="D31" s="686"/>
      <c r="E31" s="407"/>
      <c r="F31" s="407"/>
      <c r="G31" s="416"/>
      <c r="H31" s="407"/>
      <c r="I31" s="407">
        <v>1157</v>
      </c>
      <c r="J31" s="407">
        <v>25</v>
      </c>
      <c r="K31" s="407"/>
      <c r="L31" s="407"/>
      <c r="M31" s="419"/>
      <c r="N31" s="419"/>
      <c r="O31" s="407"/>
      <c r="P31" s="407"/>
      <c r="Q31" s="422"/>
      <c r="R31" s="422"/>
      <c r="S31" s="213"/>
      <c r="T31" s="407"/>
      <c r="U31" s="407"/>
      <c r="V31" s="407"/>
      <c r="W31" s="407">
        <v>40.81</v>
      </c>
      <c r="X31" s="407">
        <v>405</v>
      </c>
      <c r="Y31" s="407"/>
      <c r="Z31" s="407"/>
      <c r="AA31" s="424"/>
      <c r="AB31" s="424"/>
      <c r="AC31" s="407"/>
      <c r="AD31" s="407"/>
      <c r="AE31" s="426"/>
      <c r="AF31" s="426"/>
      <c r="AG31" s="407"/>
      <c r="AH31" s="407"/>
      <c r="AI31" s="407"/>
      <c r="AJ31" s="407"/>
      <c r="AK31" s="407"/>
      <c r="AL31" s="407"/>
      <c r="AM31" s="427"/>
      <c r="AN31" s="427"/>
      <c r="AO31" s="430">
        <v>-13.33</v>
      </c>
      <c r="AP31" s="430">
        <v>-1</v>
      </c>
      <c r="AQ31" s="431"/>
      <c r="AR31" s="431"/>
      <c r="AS31" s="425"/>
      <c r="AT31" s="425"/>
      <c r="AU31" s="407"/>
      <c r="AV31" s="407"/>
      <c r="AW31" s="416"/>
      <c r="AX31" s="407"/>
    </row>
    <row r="32" spans="1:50" ht="17.25" x14ac:dyDescent="0.35">
      <c r="A32" s="350" t="s">
        <v>260</v>
      </c>
      <c r="B32" s="413"/>
      <c r="C32" s="405"/>
      <c r="D32" s="686"/>
      <c r="E32" s="407"/>
      <c r="F32" s="407"/>
      <c r="G32" s="416"/>
      <c r="H32" s="407"/>
      <c r="I32" s="407"/>
      <c r="J32" s="407"/>
      <c r="K32" s="407"/>
      <c r="L32" s="407"/>
      <c r="M32" s="419"/>
      <c r="N32" s="419"/>
      <c r="O32" s="407"/>
      <c r="P32" s="407"/>
      <c r="Q32" s="422"/>
      <c r="R32" s="422"/>
      <c r="S32" s="213"/>
      <c r="T32" s="407"/>
      <c r="U32" s="407"/>
      <c r="V32" s="407"/>
      <c r="W32" s="407"/>
      <c r="X32" s="407"/>
      <c r="Y32" s="407"/>
      <c r="Z32" s="407"/>
      <c r="AA32" s="424"/>
      <c r="AB32" s="424"/>
      <c r="AC32" s="407"/>
      <c r="AD32" s="407"/>
      <c r="AE32" s="426"/>
      <c r="AF32" s="426"/>
      <c r="AG32" s="407"/>
      <c r="AH32" s="407"/>
      <c r="AI32" s="407">
        <v>110.49</v>
      </c>
      <c r="AJ32" s="407">
        <v>401</v>
      </c>
      <c r="AK32" s="407"/>
      <c r="AL32" s="407"/>
      <c r="AM32" s="427"/>
      <c r="AN32" s="427"/>
      <c r="AO32" s="430"/>
      <c r="AP32" s="430"/>
      <c r="AQ32" s="431"/>
      <c r="AR32" s="431"/>
      <c r="AS32" s="425"/>
      <c r="AT32" s="425"/>
      <c r="AU32" s="407"/>
      <c r="AV32" s="407"/>
      <c r="AW32" s="416">
        <v>-12329.51</v>
      </c>
      <c r="AX32" s="407">
        <v>-1208</v>
      </c>
    </row>
    <row r="33" spans="1:50" x14ac:dyDescent="0.3">
      <c r="A33" s="350" t="s">
        <v>210</v>
      </c>
      <c r="B33" s="413"/>
      <c r="C33" s="404">
        <v>2836.52</v>
      </c>
      <c r="D33" s="685">
        <v>2838</v>
      </c>
      <c r="E33" s="406">
        <v>80.72</v>
      </c>
      <c r="F33" s="406">
        <v>73</v>
      </c>
      <c r="G33" s="415">
        <v>342.43</v>
      </c>
      <c r="H33" s="406">
        <v>335</v>
      </c>
      <c r="I33" s="406">
        <v>3285.44</v>
      </c>
      <c r="J33" s="406">
        <v>3717</v>
      </c>
      <c r="K33" s="406">
        <v>156.22999999999999</v>
      </c>
      <c r="L33" s="406">
        <v>179</v>
      </c>
      <c r="M33" s="418"/>
      <c r="N33" s="418">
        <v>1463</v>
      </c>
      <c r="O33" s="406">
        <v>37</v>
      </c>
      <c r="P33" s="406">
        <v>35</v>
      </c>
      <c r="Q33" s="421">
        <v>181.27</v>
      </c>
      <c r="R33" s="421">
        <v>189</v>
      </c>
      <c r="S33" s="1012">
        <v>100.39</v>
      </c>
      <c r="T33" s="406">
        <v>100</v>
      </c>
      <c r="U33" s="406">
        <v>75.319999999999993</v>
      </c>
      <c r="V33" s="406">
        <v>68</v>
      </c>
      <c r="W33" s="406">
        <v>8662.24</v>
      </c>
      <c r="X33" s="406">
        <v>8634</v>
      </c>
      <c r="Y33" s="406">
        <v>15886.13</v>
      </c>
      <c r="Z33" s="406">
        <v>16121</v>
      </c>
      <c r="AA33" s="425">
        <v>434.14</v>
      </c>
      <c r="AB33" s="425">
        <v>466</v>
      </c>
      <c r="AC33" s="406">
        <v>768.52</v>
      </c>
      <c r="AD33" s="406">
        <v>933.88</v>
      </c>
      <c r="AE33" s="406">
        <v>1823.78</v>
      </c>
      <c r="AF33" s="406">
        <v>2009</v>
      </c>
      <c r="AG33" s="406">
        <v>4145.38</v>
      </c>
      <c r="AH33" s="406">
        <v>4814</v>
      </c>
      <c r="AI33" s="406">
        <v>1073.46</v>
      </c>
      <c r="AJ33" s="406">
        <v>1106</v>
      </c>
      <c r="AK33" s="406">
        <v>820.25</v>
      </c>
      <c r="AL33" s="406">
        <v>828</v>
      </c>
      <c r="AM33" s="427"/>
      <c r="AN33" s="427"/>
      <c r="AO33" s="428">
        <v>14459.39</v>
      </c>
      <c r="AP33" s="428">
        <v>16327</v>
      </c>
      <c r="AQ33" s="431">
        <v>58.4</v>
      </c>
      <c r="AR33" s="431">
        <v>53.85</v>
      </c>
      <c r="AS33" s="425">
        <v>238.02</v>
      </c>
      <c r="AT33" s="425">
        <v>263</v>
      </c>
      <c r="AU33" s="406">
        <v>1785.81</v>
      </c>
      <c r="AV33" s="406">
        <v>2650</v>
      </c>
      <c r="AW33" s="415">
        <v>1192.57</v>
      </c>
      <c r="AX33" s="406">
        <v>1472</v>
      </c>
    </row>
    <row r="34" spans="1:50" s="778" customFormat="1" ht="18" x14ac:dyDescent="0.35">
      <c r="A34" s="766" t="s">
        <v>211</v>
      </c>
      <c r="B34" s="767"/>
      <c r="C34" s="768">
        <v>41602.67</v>
      </c>
      <c r="D34" s="769">
        <v>58249</v>
      </c>
      <c r="E34" s="770">
        <v>4769.33</v>
      </c>
      <c r="F34" s="770">
        <v>3990</v>
      </c>
      <c r="G34" s="771">
        <v>7396.37</v>
      </c>
      <c r="H34" s="770">
        <v>7646</v>
      </c>
      <c r="I34" s="770">
        <v>6684.66</v>
      </c>
      <c r="J34" s="770">
        <v>100418</v>
      </c>
      <c r="K34" s="770">
        <v>21546</v>
      </c>
      <c r="L34" s="770">
        <v>27127</v>
      </c>
      <c r="M34" s="772">
        <v>20070.38</v>
      </c>
      <c r="N34" s="772">
        <v>26041</v>
      </c>
      <c r="O34" s="770">
        <v>7053</v>
      </c>
      <c r="P34" s="770">
        <v>7757</v>
      </c>
      <c r="Q34" s="773">
        <v>12641.96</v>
      </c>
      <c r="R34" s="773">
        <v>14191</v>
      </c>
      <c r="S34" s="1013">
        <v>19206.46</v>
      </c>
      <c r="T34" s="770">
        <v>19792</v>
      </c>
      <c r="U34" s="770">
        <v>9933.39</v>
      </c>
      <c r="V34" s="770">
        <v>13662</v>
      </c>
      <c r="W34" s="770">
        <v>113546.11</v>
      </c>
      <c r="X34" s="770">
        <v>189120</v>
      </c>
      <c r="Y34" s="770">
        <v>119831.96</v>
      </c>
      <c r="Z34" s="770">
        <v>138714</v>
      </c>
      <c r="AA34" s="774">
        <v>7354.4</v>
      </c>
      <c r="AB34" s="774">
        <v>8915</v>
      </c>
      <c r="AC34" s="770">
        <v>18174.79</v>
      </c>
      <c r="AD34" s="770">
        <v>25977.83</v>
      </c>
      <c r="AE34" s="770">
        <v>38122.01</v>
      </c>
      <c r="AF34" s="770">
        <v>56399</v>
      </c>
      <c r="AG34" s="770">
        <v>85625.59</v>
      </c>
      <c r="AH34" s="770">
        <v>98847</v>
      </c>
      <c r="AI34" s="770">
        <v>32025.42</v>
      </c>
      <c r="AJ34" s="770">
        <v>40838</v>
      </c>
      <c r="AK34" s="770">
        <v>30337.08</v>
      </c>
      <c r="AL34" s="770">
        <v>33403</v>
      </c>
      <c r="AM34" s="775"/>
      <c r="AN34" s="775"/>
      <c r="AO34" s="776">
        <v>105657.03</v>
      </c>
      <c r="AP34" s="776">
        <v>146788</v>
      </c>
      <c r="AQ34" s="777">
        <v>15174.97</v>
      </c>
      <c r="AR34" s="777">
        <v>16851.7</v>
      </c>
      <c r="AS34" s="774">
        <v>14173.18</v>
      </c>
      <c r="AT34" s="774">
        <v>20584</v>
      </c>
      <c r="AU34" s="770">
        <v>64266.96</v>
      </c>
      <c r="AV34" s="770">
        <v>115585</v>
      </c>
      <c r="AW34" s="771">
        <v>1432644.03</v>
      </c>
      <c r="AX34" s="770">
        <v>1866538</v>
      </c>
    </row>
    <row r="35" spans="1:50" x14ac:dyDescent="0.3">
      <c r="A35" s="350" t="s">
        <v>212</v>
      </c>
      <c r="B35" s="408" t="s">
        <v>213</v>
      </c>
      <c r="C35" s="404">
        <v>139655.25</v>
      </c>
      <c r="D35" s="685">
        <v>131731</v>
      </c>
      <c r="E35" s="406">
        <v>8137.42</v>
      </c>
      <c r="F35" s="406">
        <v>6511</v>
      </c>
      <c r="G35" s="415">
        <v>20843.59</v>
      </c>
      <c r="H35" s="406">
        <v>21529</v>
      </c>
      <c r="I35" s="406">
        <v>158369.88</v>
      </c>
      <c r="J35" s="406">
        <v>233992</v>
      </c>
      <c r="K35" s="406">
        <v>16924.28</v>
      </c>
      <c r="L35" s="406">
        <v>16393</v>
      </c>
      <c r="M35" s="418">
        <v>54911.39</v>
      </c>
      <c r="N35" s="418">
        <v>55331</v>
      </c>
      <c r="O35" s="406">
        <v>9920</v>
      </c>
      <c r="P35" s="406">
        <v>10428</v>
      </c>
      <c r="Q35" s="421">
        <v>5918.03</v>
      </c>
      <c r="R35" s="421">
        <v>8615</v>
      </c>
      <c r="S35" s="1012">
        <v>40857</v>
      </c>
      <c r="T35" s="406">
        <v>38975</v>
      </c>
      <c r="U35" s="406">
        <v>8750.81</v>
      </c>
      <c r="V35" s="406">
        <v>10191</v>
      </c>
      <c r="W35" s="406">
        <v>554601.13</v>
      </c>
      <c r="X35" s="406">
        <v>668082</v>
      </c>
      <c r="Y35" s="406">
        <v>563233.27</v>
      </c>
      <c r="Z35" s="406">
        <v>546721</v>
      </c>
      <c r="AA35" s="425">
        <v>18688.939999999999</v>
      </c>
      <c r="AB35" s="425">
        <v>22157</v>
      </c>
      <c r="AC35" s="406">
        <v>58057.48</v>
      </c>
      <c r="AD35" s="406">
        <v>78126.52</v>
      </c>
      <c r="AE35" s="406">
        <v>109595.07</v>
      </c>
      <c r="AF35" s="406">
        <v>118335</v>
      </c>
      <c r="AG35" s="406">
        <v>194395.51999999999</v>
      </c>
      <c r="AH35" s="406">
        <v>198870</v>
      </c>
      <c r="AI35" s="406">
        <v>57683.6</v>
      </c>
      <c r="AJ35" s="406">
        <v>57284</v>
      </c>
      <c r="AK35" s="406">
        <v>61248.39</v>
      </c>
      <c r="AL35" s="406">
        <v>51534</v>
      </c>
      <c r="AM35" s="427"/>
      <c r="AN35" s="427"/>
      <c r="AO35" s="428">
        <v>477404.77</v>
      </c>
      <c r="AP35" s="428">
        <v>515224</v>
      </c>
      <c r="AQ35" s="431">
        <v>13652.55</v>
      </c>
      <c r="AR35" s="431">
        <v>16211</v>
      </c>
      <c r="AS35" s="425">
        <v>27718.01</v>
      </c>
      <c r="AT35" s="425">
        <v>27541</v>
      </c>
      <c r="AU35" s="406">
        <v>84131.43</v>
      </c>
      <c r="AV35" s="406">
        <v>98170</v>
      </c>
      <c r="AW35" s="415">
        <v>6445417.6600000001</v>
      </c>
      <c r="AX35" s="406">
        <v>6805150</v>
      </c>
    </row>
    <row r="36" spans="1:50" x14ac:dyDescent="0.3">
      <c r="A36" s="350" t="s">
        <v>214</v>
      </c>
      <c r="B36" s="413"/>
      <c r="C36" s="404">
        <v>279.45</v>
      </c>
      <c r="D36" s="685">
        <v>180</v>
      </c>
      <c r="E36" s="406">
        <v>2.5499999999999998</v>
      </c>
      <c r="F36" s="406">
        <v>2</v>
      </c>
      <c r="G36" s="415">
        <v>30.99</v>
      </c>
      <c r="H36" s="406">
        <v>22</v>
      </c>
      <c r="I36" s="406">
        <v>3376.82</v>
      </c>
      <c r="J36" s="406">
        <v>5074</v>
      </c>
      <c r="K36" s="406">
        <v>393.3</v>
      </c>
      <c r="L36" s="406">
        <v>422</v>
      </c>
      <c r="M36" s="418">
        <v>124.86</v>
      </c>
      <c r="N36" s="418">
        <v>287</v>
      </c>
      <c r="O36" s="406">
        <v>1</v>
      </c>
      <c r="P36" s="406">
        <v>1</v>
      </c>
      <c r="Q36" s="421">
        <v>0.55000000000000004</v>
      </c>
      <c r="R36" s="421">
        <v>2</v>
      </c>
      <c r="S36" s="1012">
        <v>84.5</v>
      </c>
      <c r="T36" s="406">
        <f>94+754</f>
        <v>848</v>
      </c>
      <c r="U36" s="406">
        <v>44.35</v>
      </c>
      <c r="V36" s="406">
        <v>91</v>
      </c>
      <c r="W36" s="406">
        <f>10081.02+15461.34</f>
        <v>25542.36</v>
      </c>
      <c r="X36" s="406">
        <v>19441</v>
      </c>
      <c r="Y36" s="406">
        <v>3525.59</v>
      </c>
      <c r="Z36" s="406">
        <v>4528</v>
      </c>
      <c r="AA36" s="425">
        <v>2.67</v>
      </c>
      <c r="AB36" s="425">
        <v>9</v>
      </c>
      <c r="AC36" s="406"/>
      <c r="AD36" s="406"/>
      <c r="AE36" s="406">
        <v>1006.88</v>
      </c>
      <c r="AF36" s="406">
        <v>1544</v>
      </c>
      <c r="AG36" s="406">
        <v>107.2</v>
      </c>
      <c r="AH36" s="406">
        <v>64</v>
      </c>
      <c r="AI36" s="406">
        <v>129.72</v>
      </c>
      <c r="AJ36" s="406">
        <v>87</v>
      </c>
      <c r="AK36" s="406">
        <v>14.38</v>
      </c>
      <c r="AL36" s="406">
        <v>18</v>
      </c>
      <c r="AM36" s="427"/>
      <c r="AN36" s="427"/>
      <c r="AO36" s="428">
        <v>1771.99</v>
      </c>
      <c r="AP36" s="428">
        <v>1949</v>
      </c>
      <c r="AQ36" s="431">
        <v>9.5399999999999991</v>
      </c>
      <c r="AR36" s="431">
        <v>15.57</v>
      </c>
      <c r="AS36" s="425">
        <v>0.09</v>
      </c>
      <c r="AT36" s="425"/>
      <c r="AU36" s="406"/>
      <c r="AV36" s="406"/>
      <c r="AW36" s="415">
        <v>56541.09</v>
      </c>
      <c r="AX36" s="406">
        <v>60520</v>
      </c>
    </row>
    <row r="37" spans="1:50" ht="17.25" x14ac:dyDescent="0.35">
      <c r="A37" s="350" t="s">
        <v>215</v>
      </c>
      <c r="B37" s="413"/>
      <c r="C37" s="405"/>
      <c r="D37" s="686"/>
      <c r="E37" s="407"/>
      <c r="F37" s="407"/>
      <c r="G37" s="416"/>
      <c r="H37" s="407"/>
      <c r="I37" s="407"/>
      <c r="J37" s="407"/>
      <c r="K37" s="407"/>
      <c r="L37" s="407"/>
      <c r="M37" s="419"/>
      <c r="N37" s="419"/>
      <c r="O37" s="407"/>
      <c r="P37" s="407"/>
      <c r="Q37" s="422"/>
      <c r="R37" s="422"/>
      <c r="S37" s="213"/>
      <c r="T37" s="407"/>
      <c r="U37" s="407"/>
      <c r="V37" s="407"/>
      <c r="W37" s="407"/>
      <c r="X37" s="407"/>
      <c r="Y37" s="407"/>
      <c r="Z37" s="407"/>
      <c r="AA37" s="424"/>
      <c r="AB37" s="424"/>
      <c r="AC37" s="407"/>
      <c r="AD37" s="407"/>
      <c r="AE37" s="426"/>
      <c r="AF37" s="426"/>
      <c r="AG37" s="407"/>
      <c r="AH37" s="407"/>
      <c r="AI37" s="407"/>
      <c r="AJ37" s="407"/>
      <c r="AK37" s="407"/>
      <c r="AL37" s="407"/>
      <c r="AM37" s="427"/>
      <c r="AN37" s="427"/>
      <c r="AO37" s="400"/>
      <c r="AP37" s="400"/>
      <c r="AQ37" s="431"/>
      <c r="AR37" s="431"/>
      <c r="AS37" s="425"/>
      <c r="AT37" s="425"/>
      <c r="AU37" s="407"/>
      <c r="AV37" s="407"/>
      <c r="AW37" s="416"/>
      <c r="AX37" s="407"/>
    </row>
    <row r="38" spans="1:50" x14ac:dyDescent="0.3">
      <c r="A38" s="350" t="s">
        <v>216</v>
      </c>
      <c r="B38" s="413"/>
      <c r="C38" s="404">
        <v>89727.06</v>
      </c>
      <c r="D38" s="685">
        <v>146977</v>
      </c>
      <c r="E38" s="406"/>
      <c r="F38" s="406"/>
      <c r="G38" s="415">
        <v>23672.32</v>
      </c>
      <c r="H38" s="406">
        <v>37934</v>
      </c>
      <c r="I38" s="406">
        <v>115576.99</v>
      </c>
      <c r="J38" s="406">
        <v>166767</v>
      </c>
      <c r="K38" s="406">
        <v>39179.980000000003</v>
      </c>
      <c r="L38" s="406">
        <v>21020</v>
      </c>
      <c r="M38" s="418">
        <v>144755.04999999999</v>
      </c>
      <c r="N38" s="418">
        <v>55667</v>
      </c>
      <c r="O38" s="406">
        <v>14819</v>
      </c>
      <c r="P38" s="406">
        <v>16776</v>
      </c>
      <c r="Q38" s="421">
        <v>24605.89</v>
      </c>
      <c r="R38" s="421">
        <v>438</v>
      </c>
      <c r="S38" s="1012">
        <v>52618.02</v>
      </c>
      <c r="T38" s="406">
        <v>26593</v>
      </c>
      <c r="U38" s="406">
        <f>2758.83+11154.23</f>
        <v>13913.06</v>
      </c>
      <c r="V38" s="406">
        <v>19138</v>
      </c>
      <c r="W38" s="406">
        <v>440342.51</v>
      </c>
      <c r="X38" s="406">
        <v>396209</v>
      </c>
      <c r="Y38" s="406">
        <v>359551.3</v>
      </c>
      <c r="Z38" s="406">
        <v>345562</v>
      </c>
      <c r="AA38" s="424">
        <v>40029.21</v>
      </c>
      <c r="AB38" s="424">
        <v>18956</v>
      </c>
      <c r="AC38" s="406">
        <v>25858.26</v>
      </c>
      <c r="AD38" s="406">
        <v>8920.9599999999991</v>
      </c>
      <c r="AE38" s="406">
        <v>86285.83</v>
      </c>
      <c r="AF38" s="406">
        <v>89129</v>
      </c>
      <c r="AG38" s="406">
        <v>154025.18</v>
      </c>
      <c r="AH38" s="406">
        <v>169965</v>
      </c>
      <c r="AI38" s="406">
        <f>38868.83+68948.21</f>
        <v>107817.04000000001</v>
      </c>
      <c r="AJ38" s="406">
        <v>89525</v>
      </c>
      <c r="AK38" s="406">
        <f>29990.43+43628.8</f>
        <v>73619.23000000001</v>
      </c>
      <c r="AL38" s="406">
        <v>56179</v>
      </c>
      <c r="AM38" s="427"/>
      <c r="AN38" s="427"/>
      <c r="AO38" s="428">
        <v>325355.18</v>
      </c>
      <c r="AP38" s="428">
        <v>491642</v>
      </c>
      <c r="AQ38" s="431">
        <v>15102</v>
      </c>
      <c r="AR38" s="431">
        <v>17630.27</v>
      </c>
      <c r="AS38" s="425">
        <v>59099.89</v>
      </c>
      <c r="AT38" s="425">
        <v>84434</v>
      </c>
      <c r="AU38" s="406">
        <f>63803.81+162797.69</f>
        <v>226601.5</v>
      </c>
      <c r="AV38" s="406">
        <v>43441</v>
      </c>
      <c r="AW38" s="415">
        <v>7758794.8399999999</v>
      </c>
      <c r="AX38" s="406">
        <v>7792024</v>
      </c>
    </row>
    <row r="39" spans="1:50" x14ac:dyDescent="0.3">
      <c r="A39" s="350" t="s">
        <v>217</v>
      </c>
      <c r="B39" s="413"/>
      <c r="C39" s="404">
        <v>-2798.37</v>
      </c>
      <c r="D39" s="685">
        <v>-3033</v>
      </c>
      <c r="E39" s="406">
        <v>-555</v>
      </c>
      <c r="F39" s="406">
        <v>3928</v>
      </c>
      <c r="G39" s="415">
        <v>-680.27</v>
      </c>
      <c r="H39" s="406">
        <v>-57443</v>
      </c>
      <c r="I39" s="406">
        <v>-3083.5</v>
      </c>
      <c r="J39" s="406">
        <v>848</v>
      </c>
      <c r="K39" s="406">
        <v>-334.56</v>
      </c>
      <c r="L39" s="406">
        <v>63</v>
      </c>
      <c r="M39" s="418">
        <v>1375.87</v>
      </c>
      <c r="N39" s="418">
        <v>294</v>
      </c>
      <c r="O39" s="406">
        <v>444</v>
      </c>
      <c r="P39" s="406">
        <v>66</v>
      </c>
      <c r="Q39" s="421">
        <v>-415.78</v>
      </c>
      <c r="R39" s="421">
        <v>458</v>
      </c>
      <c r="S39" s="1012">
        <v>-3509.53</v>
      </c>
      <c r="T39" s="406">
        <v>-3800</v>
      </c>
      <c r="U39" s="406">
        <v>-1491.91</v>
      </c>
      <c r="V39" s="406">
        <v>-242</v>
      </c>
      <c r="W39" s="406">
        <v>-21123.86</v>
      </c>
      <c r="X39" s="406">
        <v>-17168</v>
      </c>
      <c r="Y39" s="406">
        <v>-42867.73</v>
      </c>
      <c r="Z39" s="406">
        <v>-24022</v>
      </c>
      <c r="AA39" s="424">
        <v>-199.23</v>
      </c>
      <c r="AB39" s="424">
        <v>666</v>
      </c>
      <c r="AC39" s="406"/>
      <c r="AD39" s="406"/>
      <c r="AE39" s="406">
        <v>-2062.5</v>
      </c>
      <c r="AF39" s="406">
        <v>-1407</v>
      </c>
      <c r="AG39" s="406">
        <v>-897.38</v>
      </c>
      <c r="AH39" s="406">
        <v>1381</v>
      </c>
      <c r="AI39" s="406">
        <v>-2572.87</v>
      </c>
      <c r="AJ39" s="406">
        <v>-1397</v>
      </c>
      <c r="AK39" s="406"/>
      <c r="AL39" s="406"/>
      <c r="AM39" s="427"/>
      <c r="AN39" s="427"/>
      <c r="AO39" s="428">
        <v>5542.74</v>
      </c>
      <c r="AP39" s="428">
        <v>-23283</v>
      </c>
      <c r="AQ39" s="431"/>
      <c r="AR39" s="431">
        <v>-4109.63</v>
      </c>
      <c r="AS39" s="425">
        <v>-10211.06</v>
      </c>
      <c r="AT39" s="425">
        <v>-11270</v>
      </c>
      <c r="AU39" s="406">
        <v>-5433.45</v>
      </c>
      <c r="AV39" s="406">
        <v>14931</v>
      </c>
      <c r="AW39" s="415"/>
      <c r="AX39" s="406"/>
    </row>
    <row r="40" spans="1:50" x14ac:dyDescent="0.3">
      <c r="A40" s="350" t="s">
        <v>218</v>
      </c>
      <c r="B40" s="413"/>
      <c r="C40" s="404"/>
      <c r="D40" s="685"/>
      <c r="E40" s="406"/>
      <c r="F40" s="406">
        <v>34</v>
      </c>
      <c r="G40" s="415"/>
      <c r="H40" s="406"/>
      <c r="I40" s="406"/>
      <c r="J40" s="406"/>
      <c r="K40" s="406"/>
      <c r="L40" s="406"/>
      <c r="M40" s="418"/>
      <c r="N40" s="418"/>
      <c r="O40" s="406"/>
      <c r="P40" s="406"/>
      <c r="Q40" s="421"/>
      <c r="R40" s="421"/>
      <c r="S40" s="1012"/>
      <c r="T40" s="406"/>
      <c r="U40" s="406"/>
      <c r="V40" s="406"/>
      <c r="W40" s="406"/>
      <c r="X40" s="406"/>
      <c r="Y40" s="406"/>
      <c r="Z40" s="406">
        <v>1</v>
      </c>
      <c r="AA40" s="424"/>
      <c r="AB40" s="424"/>
      <c r="AC40" s="406"/>
      <c r="AD40" s="406"/>
      <c r="AE40" s="406"/>
      <c r="AF40" s="406"/>
      <c r="AG40" s="406"/>
      <c r="AH40" s="406"/>
      <c r="AI40" s="406"/>
      <c r="AJ40" s="406"/>
      <c r="AK40" s="406"/>
      <c r="AL40" s="406"/>
      <c r="AM40" s="427"/>
      <c r="AN40" s="427"/>
      <c r="AO40" s="400"/>
      <c r="AP40" s="400"/>
      <c r="AQ40" s="431"/>
      <c r="AR40" s="431"/>
      <c r="AS40" s="425"/>
      <c r="AT40" s="425"/>
      <c r="AU40" s="406"/>
      <c r="AV40" s="406"/>
      <c r="AW40" s="415"/>
      <c r="AX40" s="406"/>
    </row>
    <row r="41" spans="1:50" x14ac:dyDescent="0.3">
      <c r="A41" s="350" t="s">
        <v>219</v>
      </c>
      <c r="B41" s="413"/>
      <c r="C41" s="404">
        <f>65081.35+13771.21</f>
        <v>78852.56</v>
      </c>
      <c r="D41" s="685">
        <v>176863</v>
      </c>
      <c r="E41" s="406">
        <f>1638.32+8297.55</f>
        <v>9935.869999999999</v>
      </c>
      <c r="F41" s="406">
        <v>-6615</v>
      </c>
      <c r="G41" s="415"/>
      <c r="H41" s="406"/>
      <c r="I41" s="406">
        <v>191946.92</v>
      </c>
      <c r="J41" s="406">
        <v>-225836</v>
      </c>
      <c r="K41" s="406"/>
      <c r="L41" s="406"/>
      <c r="M41" s="418"/>
      <c r="N41" s="418"/>
      <c r="O41" s="406"/>
      <c r="P41" s="406"/>
      <c r="Q41" s="421"/>
      <c r="R41" s="421"/>
      <c r="S41" s="1012"/>
      <c r="T41" s="406"/>
      <c r="U41" s="406"/>
      <c r="V41" s="406"/>
      <c r="W41" s="406">
        <v>305837.14</v>
      </c>
      <c r="X41" s="406">
        <v>-706458</v>
      </c>
      <c r="Y41" s="406">
        <v>582065.38</v>
      </c>
      <c r="Z41" s="406">
        <v>-1183038</v>
      </c>
      <c r="AA41" s="424"/>
      <c r="AB41" s="424"/>
      <c r="AC41" s="406">
        <v>30775.19</v>
      </c>
      <c r="AD41" s="406">
        <v>-46200.92</v>
      </c>
      <c r="AE41" s="406"/>
      <c r="AF41" s="406"/>
      <c r="AG41" s="406">
        <v>8552.14</v>
      </c>
      <c r="AH41" s="406"/>
      <c r="AI41" s="406"/>
      <c r="AJ41" s="406">
        <v>-75142</v>
      </c>
      <c r="AK41" s="406"/>
      <c r="AL41" s="406"/>
      <c r="AM41" s="427"/>
      <c r="AN41" s="427"/>
      <c r="AO41" s="428">
        <v>536743.72</v>
      </c>
      <c r="AP41" s="428">
        <v>-746931</v>
      </c>
      <c r="AQ41" s="431"/>
      <c r="AR41" s="431"/>
      <c r="AS41" s="425"/>
      <c r="AT41" s="425"/>
      <c r="AU41" s="406"/>
      <c r="AV41" s="406"/>
      <c r="AW41" s="415"/>
      <c r="AX41" s="406"/>
    </row>
    <row r="42" spans="1:50" ht="17.25" x14ac:dyDescent="0.35">
      <c r="A42" s="350" t="s">
        <v>220</v>
      </c>
      <c r="B42" s="413"/>
      <c r="C42" s="405"/>
      <c r="D42" s="686">
        <v>10143</v>
      </c>
      <c r="E42" s="407"/>
      <c r="F42" s="407"/>
      <c r="G42" s="416">
        <v>3910.22</v>
      </c>
      <c r="H42" s="407">
        <v>2211</v>
      </c>
      <c r="I42" s="407">
        <v>18511.900000000001</v>
      </c>
      <c r="J42" s="407">
        <v>5110</v>
      </c>
      <c r="K42" s="407"/>
      <c r="L42" s="407"/>
      <c r="M42" s="419"/>
      <c r="N42" s="419">
        <v>6603</v>
      </c>
      <c r="O42" s="407">
        <v>265</v>
      </c>
      <c r="P42" s="407">
        <v>-560</v>
      </c>
      <c r="Q42" s="422"/>
      <c r="R42" s="422"/>
      <c r="S42" s="213"/>
      <c r="T42" s="407"/>
      <c r="U42" s="407"/>
      <c r="V42" s="407">
        <v>3640</v>
      </c>
      <c r="W42" s="407">
        <v>35763.93</v>
      </c>
      <c r="X42" s="407">
        <v>9073</v>
      </c>
      <c r="Y42" s="407">
        <v>71565.039999999994</v>
      </c>
      <c r="Z42" s="407">
        <v>-18490</v>
      </c>
      <c r="AA42" s="424"/>
      <c r="AB42" s="424">
        <v>380</v>
      </c>
      <c r="AC42" s="407">
        <v>6975.99</v>
      </c>
      <c r="AD42" s="407">
        <v>4094</v>
      </c>
      <c r="AE42" s="426">
        <v>11736</v>
      </c>
      <c r="AF42" s="426">
        <v>4706</v>
      </c>
      <c r="AG42" s="407">
        <v>51902.03</v>
      </c>
      <c r="AH42" s="407">
        <v>31014</v>
      </c>
      <c r="AI42" s="407"/>
      <c r="AJ42" s="407">
        <v>11237</v>
      </c>
      <c r="AK42" s="407"/>
      <c r="AL42" s="407">
        <v>16182</v>
      </c>
      <c r="AM42" s="427"/>
      <c r="AN42" s="427"/>
      <c r="AO42" s="428">
        <v>110022.89</v>
      </c>
      <c r="AP42" s="428">
        <v>51467</v>
      </c>
      <c r="AQ42" s="431"/>
      <c r="AR42" s="431">
        <v>89.85</v>
      </c>
      <c r="AS42" s="406">
        <v>1734.94</v>
      </c>
      <c r="AT42" s="406">
        <v>1437</v>
      </c>
      <c r="AU42" s="407"/>
      <c r="AV42" s="407">
        <v>14994</v>
      </c>
      <c r="AW42" s="416">
        <v>744.53</v>
      </c>
      <c r="AX42" s="407">
        <v>1556</v>
      </c>
    </row>
    <row r="43" spans="1:50" ht="17.25" x14ac:dyDescent="0.35">
      <c r="A43" s="350" t="s">
        <v>248</v>
      </c>
      <c r="B43" s="413"/>
      <c r="C43" s="405"/>
      <c r="D43" s="686"/>
      <c r="E43" s="407"/>
      <c r="F43" s="407"/>
      <c r="G43" s="416"/>
      <c r="H43" s="407"/>
      <c r="I43" s="407"/>
      <c r="J43" s="407"/>
      <c r="K43" s="407"/>
      <c r="L43" s="407"/>
      <c r="M43" s="419"/>
      <c r="N43" s="419">
        <v>-114912</v>
      </c>
      <c r="O43" s="407">
        <v>934</v>
      </c>
      <c r="P43" s="407">
        <v>-3021</v>
      </c>
      <c r="Q43" s="422"/>
      <c r="R43" s="422"/>
      <c r="S43" s="213"/>
      <c r="T43" s="407"/>
      <c r="U43" s="407"/>
      <c r="V43" s="407">
        <v>-8200</v>
      </c>
      <c r="W43" s="407"/>
      <c r="X43" s="407"/>
      <c r="Y43" s="407"/>
      <c r="Z43" s="407"/>
      <c r="AA43" s="424"/>
      <c r="AB43" s="424">
        <v>-33646</v>
      </c>
      <c r="AC43" s="407"/>
      <c r="AD43" s="407"/>
      <c r="AE43" s="426">
        <v>93360</v>
      </c>
      <c r="AF43" s="426">
        <v>-163349</v>
      </c>
      <c r="AG43" s="407"/>
      <c r="AH43" s="407">
        <v>-198990</v>
      </c>
      <c r="AI43" s="407"/>
      <c r="AJ43" s="407"/>
      <c r="AK43" s="407"/>
      <c r="AL43" s="407">
        <v>-65940</v>
      </c>
      <c r="AM43" s="427"/>
      <c r="AN43" s="427"/>
      <c r="AO43" s="428"/>
      <c r="AP43" s="428"/>
      <c r="AQ43" s="431"/>
      <c r="AR43" s="431"/>
      <c r="AS43" s="406">
        <v>3522.61</v>
      </c>
      <c r="AT43" s="406">
        <v>-17827</v>
      </c>
      <c r="AU43" s="407"/>
      <c r="AV43" s="407">
        <v>-152354</v>
      </c>
      <c r="AW43" s="416">
        <v>-278815.99</v>
      </c>
      <c r="AX43" s="407"/>
    </row>
    <row r="44" spans="1:50" ht="17.25" x14ac:dyDescent="0.35">
      <c r="A44" s="350" t="s">
        <v>249</v>
      </c>
      <c r="B44" s="413"/>
      <c r="C44" s="405"/>
      <c r="D44" s="686"/>
      <c r="E44" s="407"/>
      <c r="F44" s="407"/>
      <c r="G44" s="416"/>
      <c r="H44" s="407"/>
      <c r="I44" s="407">
        <v>-85.69</v>
      </c>
      <c r="J44" s="407">
        <v>210</v>
      </c>
      <c r="K44" s="407"/>
      <c r="L44" s="407"/>
      <c r="M44" s="419"/>
      <c r="N44" s="419"/>
      <c r="O44" s="407"/>
      <c r="P44" s="407"/>
      <c r="Q44" s="422"/>
      <c r="R44" s="422"/>
      <c r="S44" s="213"/>
      <c r="T44" s="407"/>
      <c r="U44" s="407"/>
      <c r="V44" s="407"/>
      <c r="W44" s="407"/>
      <c r="X44" s="407"/>
      <c r="Y44" s="407"/>
      <c r="Z44" s="407"/>
      <c r="AA44" s="424"/>
      <c r="AB44" s="424"/>
      <c r="AC44" s="407"/>
      <c r="AD44" s="407"/>
      <c r="AE44" s="426"/>
      <c r="AF44" s="426"/>
      <c r="AG44" s="407"/>
      <c r="AH44" s="407"/>
      <c r="AI44" s="407"/>
      <c r="AJ44" s="407"/>
      <c r="AK44" s="407"/>
      <c r="AL44" s="407"/>
      <c r="AM44" s="427"/>
      <c r="AN44" s="427"/>
      <c r="AO44" s="428"/>
      <c r="AP44" s="428"/>
      <c r="AQ44" s="431"/>
      <c r="AR44" s="431"/>
      <c r="AS44" s="406"/>
      <c r="AT44" s="406"/>
      <c r="AU44" s="407"/>
      <c r="AV44" s="407"/>
      <c r="AW44" s="416"/>
      <c r="AX44" s="407"/>
    </row>
    <row r="45" spans="1:50" s="778" customFormat="1" ht="18" x14ac:dyDescent="0.35">
      <c r="A45" s="766" t="s">
        <v>221</v>
      </c>
      <c r="B45" s="767"/>
      <c r="C45" s="768">
        <v>305715.95</v>
      </c>
      <c r="D45" s="769">
        <v>109135</v>
      </c>
      <c r="E45" s="770">
        <v>17520.849999999999</v>
      </c>
      <c r="F45" s="770">
        <v>3860</v>
      </c>
      <c r="G45" s="771">
        <v>47776.85</v>
      </c>
      <c r="H45" s="770">
        <v>4253</v>
      </c>
      <c r="I45" s="770">
        <v>484613.32</v>
      </c>
      <c r="J45" s="770">
        <v>186165</v>
      </c>
      <c r="K45" s="770">
        <v>56163</v>
      </c>
      <c r="L45" s="770">
        <v>37899</v>
      </c>
      <c r="M45" s="772">
        <v>201167.17</v>
      </c>
      <c r="N45" s="772">
        <v>3270</v>
      </c>
      <c r="O45" s="770">
        <v>26383</v>
      </c>
      <c r="P45" s="770">
        <v>23689</v>
      </c>
      <c r="Q45" s="773">
        <v>30108.69</v>
      </c>
      <c r="R45" s="773">
        <v>9513</v>
      </c>
      <c r="S45" s="1013">
        <v>90050</v>
      </c>
      <c r="T45" s="770">
        <v>62615</v>
      </c>
      <c r="U45" s="770">
        <v>25214.3</v>
      </c>
      <c r="V45" s="770">
        <v>24618</v>
      </c>
      <c r="W45" s="770">
        <v>1340963.21</v>
      </c>
      <c r="X45" s="770">
        <v>369179</v>
      </c>
      <c r="Y45" s="770">
        <v>1537071.27</v>
      </c>
      <c r="Z45" s="770">
        <v>-328738</v>
      </c>
      <c r="AA45" s="774">
        <v>58521.59</v>
      </c>
      <c r="AB45" s="774">
        <v>8822</v>
      </c>
      <c r="AC45" s="770">
        <v>121666.93</v>
      </c>
      <c r="AD45" s="770">
        <v>44941.19</v>
      </c>
      <c r="AE45" s="770">
        <v>299921</v>
      </c>
      <c r="AF45" s="770">
        <v>49958</v>
      </c>
      <c r="AG45" s="770">
        <v>485044.69</v>
      </c>
      <c r="AH45" s="770">
        <v>202305</v>
      </c>
      <c r="AI45" s="770">
        <v>163057.49</v>
      </c>
      <c r="AJ45" s="770">
        <v>81594</v>
      </c>
      <c r="AK45" s="770">
        <v>134882</v>
      </c>
      <c r="AL45" s="770">
        <v>57974</v>
      </c>
      <c r="AM45" s="775"/>
      <c r="AN45" s="775"/>
      <c r="AO45" s="776">
        <v>1456841.3</v>
      </c>
      <c r="AP45" s="776">
        <v>270068</v>
      </c>
      <c r="AQ45" s="777">
        <v>28764.09</v>
      </c>
      <c r="AR45" s="777">
        <v>29837.06</v>
      </c>
      <c r="AS45" s="774">
        <v>81864.479999999996</v>
      </c>
      <c r="AT45" s="774">
        <v>88316</v>
      </c>
      <c r="AU45" s="770">
        <v>305299.48</v>
      </c>
      <c r="AV45" s="770">
        <v>19182</v>
      </c>
      <c r="AW45" s="771">
        <v>13982682.130000001</v>
      </c>
      <c r="AX45" s="770">
        <v>14659251</v>
      </c>
    </row>
    <row r="46" spans="1:50" s="778" customFormat="1" ht="18" x14ac:dyDescent="0.35">
      <c r="A46" s="766" t="s">
        <v>222</v>
      </c>
      <c r="B46" s="767"/>
      <c r="C46" s="768">
        <v>9150.2900000000009</v>
      </c>
      <c r="D46" s="769">
        <v>4703</v>
      </c>
      <c r="E46" s="770">
        <v>-1427.82</v>
      </c>
      <c r="F46" s="770">
        <v>1842</v>
      </c>
      <c r="G46" s="771">
        <v>1259.5</v>
      </c>
      <c r="H46" s="770">
        <v>1811</v>
      </c>
      <c r="I46" s="770">
        <v>-7704.97</v>
      </c>
      <c r="J46" s="770">
        <v>-7454</v>
      </c>
      <c r="K46" s="770">
        <v>-8349.59</v>
      </c>
      <c r="L46" s="770">
        <v>-10025</v>
      </c>
      <c r="M46" s="772">
        <v>-414.95</v>
      </c>
      <c r="N46" s="772">
        <v>5003</v>
      </c>
      <c r="O46" s="770">
        <v>949</v>
      </c>
      <c r="P46" s="770">
        <v>3739</v>
      </c>
      <c r="Q46" s="773">
        <v>82.06</v>
      </c>
      <c r="R46" s="773">
        <v>82</v>
      </c>
      <c r="S46" s="1013">
        <v>728.21</v>
      </c>
      <c r="T46" s="770">
        <v>79</v>
      </c>
      <c r="U46" s="770"/>
      <c r="V46" s="770">
        <v>1003</v>
      </c>
      <c r="W46" s="770">
        <v>5921.26</v>
      </c>
      <c r="X46" s="770">
        <v>24425</v>
      </c>
      <c r="Y46" s="770">
        <v>15502.02</v>
      </c>
      <c r="Z46" s="770">
        <v>43905</v>
      </c>
      <c r="AA46" s="774">
        <v>1893.43</v>
      </c>
      <c r="AB46" s="774">
        <v>3594</v>
      </c>
      <c r="AC46" s="770">
        <v>12044.53</v>
      </c>
      <c r="AD46" s="770">
        <v>2341.2199999999998</v>
      </c>
      <c r="AE46" s="770">
        <v>-30091</v>
      </c>
      <c r="AF46" s="770">
        <v>17054</v>
      </c>
      <c r="AG46" s="770">
        <v>11834.15</v>
      </c>
      <c r="AH46" s="770">
        <v>18611</v>
      </c>
      <c r="AI46" s="770">
        <v>12199.99</v>
      </c>
      <c r="AJ46" s="770">
        <v>3064</v>
      </c>
      <c r="AK46" s="770">
        <v>720.59</v>
      </c>
      <c r="AL46" s="770">
        <v>-942</v>
      </c>
      <c r="AM46" s="775"/>
      <c r="AN46" s="775"/>
      <c r="AO46" s="776">
        <v>11192.87</v>
      </c>
      <c r="AP46" s="776">
        <v>27257</v>
      </c>
      <c r="AQ46" s="777">
        <v>545.87</v>
      </c>
      <c r="AR46" s="777">
        <v>5866.28</v>
      </c>
      <c r="AS46" s="774">
        <v>-3320.88</v>
      </c>
      <c r="AT46" s="774">
        <v>275</v>
      </c>
      <c r="AU46" s="770">
        <v>1031.83</v>
      </c>
      <c r="AV46" s="770">
        <v>24299</v>
      </c>
      <c r="AW46" s="771"/>
      <c r="AX46" s="770">
        <v>282476</v>
      </c>
    </row>
    <row r="47" spans="1:50" x14ac:dyDescent="0.3">
      <c r="A47" s="408" t="s">
        <v>258</v>
      </c>
      <c r="B47" s="413"/>
      <c r="C47" s="405"/>
      <c r="D47" s="686"/>
      <c r="E47" s="406"/>
      <c r="F47" s="406"/>
      <c r="G47" s="415"/>
      <c r="H47" s="406"/>
      <c r="I47" s="406">
        <v>-17475.47</v>
      </c>
      <c r="J47" s="406">
        <v>24745</v>
      </c>
      <c r="K47" s="406"/>
      <c r="L47" s="406"/>
      <c r="M47" s="418"/>
      <c r="N47" s="418"/>
      <c r="O47" s="406"/>
      <c r="P47" s="406"/>
      <c r="Q47" s="422"/>
      <c r="R47" s="422"/>
      <c r="S47" s="1012"/>
      <c r="T47" s="406"/>
      <c r="U47" s="406"/>
      <c r="V47" s="406"/>
      <c r="W47" s="406"/>
      <c r="X47" s="406"/>
      <c r="Y47" s="406"/>
      <c r="Z47" s="406"/>
      <c r="AA47" s="425">
        <v>139.6</v>
      </c>
      <c r="AB47" s="425">
        <v>150</v>
      </c>
      <c r="AC47" s="406"/>
      <c r="AD47" s="406"/>
      <c r="AE47" s="406"/>
      <c r="AF47" s="406"/>
      <c r="AG47" s="406"/>
      <c r="AH47" s="406"/>
      <c r="AI47" s="406"/>
      <c r="AJ47" s="406"/>
      <c r="AK47" s="406"/>
      <c r="AL47" s="406"/>
      <c r="AM47" s="427"/>
      <c r="AN47" s="427"/>
      <c r="AO47" s="429"/>
      <c r="AP47" s="429"/>
      <c r="AQ47" s="431"/>
      <c r="AR47" s="431"/>
      <c r="AS47" s="425"/>
      <c r="AT47" s="425"/>
      <c r="AU47" s="406"/>
      <c r="AV47" s="406"/>
      <c r="AW47" s="415"/>
      <c r="AX47" s="406"/>
    </row>
    <row r="48" spans="1:50" x14ac:dyDescent="0.3">
      <c r="A48" s="408" t="s">
        <v>223</v>
      </c>
      <c r="B48" s="413"/>
      <c r="C48" s="404"/>
      <c r="D48" s="685"/>
      <c r="E48" s="406"/>
      <c r="F48" s="406"/>
      <c r="G48" s="415"/>
      <c r="H48" s="406"/>
      <c r="I48" s="406"/>
      <c r="J48" s="406"/>
      <c r="K48" s="406"/>
      <c r="L48" s="406"/>
      <c r="M48" s="418"/>
      <c r="N48" s="418"/>
      <c r="O48" s="406"/>
      <c r="P48" s="406"/>
      <c r="Q48" s="421"/>
      <c r="R48" s="421"/>
      <c r="S48" s="1012"/>
      <c r="T48" s="406"/>
      <c r="U48" s="406"/>
      <c r="V48" s="406"/>
      <c r="W48" s="406"/>
      <c r="X48" s="406"/>
      <c r="Y48" s="406"/>
      <c r="Z48" s="406"/>
      <c r="AA48" s="425"/>
      <c r="AB48" s="425"/>
      <c r="AC48" s="406"/>
      <c r="AD48" s="406"/>
      <c r="AE48" s="406"/>
      <c r="AF48" s="406"/>
      <c r="AG48" s="406"/>
      <c r="AH48" s="406"/>
      <c r="AI48" s="406"/>
      <c r="AJ48" s="406"/>
      <c r="AK48" s="406"/>
      <c r="AL48" s="406"/>
      <c r="AM48" s="427"/>
      <c r="AN48" s="427"/>
      <c r="AO48" s="400"/>
      <c r="AP48" s="400"/>
      <c r="AQ48" s="431"/>
      <c r="AR48" s="431"/>
      <c r="AS48" s="425"/>
      <c r="AT48" s="425"/>
      <c r="AU48" s="406"/>
      <c r="AV48" s="406"/>
      <c r="AW48" s="415"/>
      <c r="AX48" s="406"/>
    </row>
    <row r="49" spans="1:50" x14ac:dyDescent="0.3">
      <c r="A49" s="408" t="s">
        <v>252</v>
      </c>
      <c r="B49" s="413"/>
      <c r="C49" s="404"/>
      <c r="D49" s="685"/>
      <c r="E49" s="406"/>
      <c r="F49" s="406"/>
      <c r="G49" s="415"/>
      <c r="H49" s="406"/>
      <c r="I49" s="406"/>
      <c r="J49" s="406"/>
      <c r="K49" s="406"/>
      <c r="L49" s="406"/>
      <c r="M49" s="418"/>
      <c r="N49" s="418"/>
      <c r="O49" s="406"/>
      <c r="P49" s="406"/>
      <c r="Q49" s="421"/>
      <c r="R49" s="421"/>
      <c r="S49" s="1012"/>
      <c r="T49" s="406"/>
      <c r="U49" s="406"/>
      <c r="V49" s="406"/>
      <c r="W49" s="406"/>
      <c r="X49" s="406"/>
      <c r="Y49" s="406"/>
      <c r="Z49" s="406"/>
      <c r="AA49" s="425"/>
      <c r="AB49" s="425"/>
      <c r="AC49" s="406"/>
      <c r="AD49" s="406"/>
      <c r="AE49" s="406"/>
      <c r="AF49" s="406"/>
      <c r="AG49" s="406"/>
      <c r="AH49" s="406"/>
      <c r="AI49" s="406"/>
      <c r="AJ49" s="406"/>
      <c r="AK49" s="406"/>
      <c r="AL49" s="406"/>
      <c r="AM49" s="427"/>
      <c r="AN49" s="427"/>
      <c r="AO49" s="400"/>
      <c r="AP49" s="400"/>
      <c r="AQ49" s="431"/>
      <c r="AR49" s="431"/>
      <c r="AS49" s="425"/>
      <c r="AT49" s="425"/>
      <c r="AU49" s="406"/>
      <c r="AV49" s="406"/>
      <c r="AW49" s="415"/>
      <c r="AX49" s="406"/>
    </row>
    <row r="50" spans="1:50" x14ac:dyDescent="0.3">
      <c r="A50" s="350" t="s">
        <v>224</v>
      </c>
      <c r="B50" s="413"/>
      <c r="C50" s="404"/>
      <c r="D50" s="685"/>
      <c r="E50" s="406"/>
      <c r="F50" s="406"/>
      <c r="G50" s="415"/>
      <c r="H50" s="406"/>
      <c r="I50" s="406"/>
      <c r="J50" s="406"/>
      <c r="K50" s="406"/>
      <c r="L50" s="406"/>
      <c r="M50" s="418"/>
      <c r="N50" s="418"/>
      <c r="O50" s="406"/>
      <c r="P50" s="406"/>
      <c r="Q50" s="421"/>
      <c r="R50" s="421"/>
      <c r="S50" s="1012"/>
      <c r="T50" s="406"/>
      <c r="U50" s="406"/>
      <c r="V50" s="406"/>
      <c r="W50" s="406"/>
      <c r="X50" s="406"/>
      <c r="Y50" s="406"/>
      <c r="Z50" s="406"/>
      <c r="AA50" s="425"/>
      <c r="AB50" s="425"/>
      <c r="AC50" s="406"/>
      <c r="AD50" s="406"/>
      <c r="AE50" s="406"/>
      <c r="AF50" s="406"/>
      <c r="AG50" s="406"/>
      <c r="AH50" s="406"/>
      <c r="AI50" s="406"/>
      <c r="AJ50" s="406"/>
      <c r="AK50" s="406"/>
      <c r="AL50" s="406"/>
      <c r="AM50" s="427"/>
      <c r="AN50" s="427"/>
      <c r="AO50" s="428"/>
      <c r="AP50" s="428"/>
      <c r="AQ50" s="431"/>
      <c r="AR50" s="431"/>
      <c r="AS50" s="425"/>
      <c r="AT50" s="425"/>
      <c r="AU50" s="406"/>
      <c r="AV50" s="406"/>
      <c r="AW50" s="415"/>
      <c r="AX50" s="406"/>
    </row>
    <row r="51" spans="1:50" ht="17.25" x14ac:dyDescent="0.35">
      <c r="A51" s="408" t="s">
        <v>143</v>
      </c>
      <c r="B51" s="413"/>
      <c r="C51" s="405"/>
      <c r="D51" s="686"/>
      <c r="E51" s="407"/>
      <c r="F51" s="407"/>
      <c r="G51" s="416"/>
      <c r="H51" s="407"/>
      <c r="I51" s="407"/>
      <c r="J51" s="407"/>
      <c r="K51" s="407"/>
      <c r="L51" s="407"/>
      <c r="M51" s="419"/>
      <c r="N51" s="419"/>
      <c r="O51" s="407"/>
      <c r="P51" s="407"/>
      <c r="Q51" s="422"/>
      <c r="R51" s="422"/>
      <c r="S51" s="213"/>
      <c r="T51" s="407"/>
      <c r="U51" s="407"/>
      <c r="V51" s="407"/>
      <c r="W51" s="407"/>
      <c r="X51" s="407"/>
      <c r="Y51" s="407"/>
      <c r="Z51" s="407"/>
      <c r="AA51" s="406"/>
      <c r="AB51" s="406"/>
      <c r="AC51" s="407"/>
      <c r="AD51" s="407"/>
      <c r="AE51" s="426"/>
      <c r="AF51" s="426"/>
      <c r="AG51" s="407"/>
      <c r="AH51" s="407"/>
      <c r="AI51" s="407"/>
      <c r="AJ51" s="407"/>
      <c r="AK51" s="407"/>
      <c r="AL51" s="407"/>
      <c r="AM51" s="427"/>
      <c r="AN51" s="427"/>
      <c r="AO51" s="400"/>
      <c r="AP51" s="400"/>
      <c r="AQ51" s="431"/>
      <c r="AR51" s="431"/>
      <c r="AS51" s="406"/>
      <c r="AT51" s="406"/>
      <c r="AU51" s="407"/>
      <c r="AV51" s="407"/>
      <c r="AW51" s="416"/>
      <c r="AX51" s="407"/>
    </row>
    <row r="52" spans="1:50" x14ac:dyDescent="0.3">
      <c r="A52" s="350" t="s">
        <v>225</v>
      </c>
      <c r="B52" s="413"/>
      <c r="C52" s="404">
        <v>9150.2900000000009</v>
      </c>
      <c r="D52" s="685">
        <v>4703</v>
      </c>
      <c r="E52" s="406"/>
      <c r="F52" s="406"/>
      <c r="G52" s="415"/>
      <c r="H52" s="406"/>
      <c r="I52" s="406">
        <v>7933.07</v>
      </c>
      <c r="J52" s="406">
        <v>17111</v>
      </c>
      <c r="K52" s="406">
        <v>-9392</v>
      </c>
      <c r="L52" s="406">
        <v>-11698</v>
      </c>
      <c r="M52" s="418"/>
      <c r="N52" s="418"/>
      <c r="O52" s="406">
        <v>525</v>
      </c>
      <c r="P52" s="406">
        <v>3213</v>
      </c>
      <c r="Q52" s="423"/>
      <c r="R52" s="423"/>
      <c r="S52" s="1012"/>
      <c r="T52" s="406"/>
      <c r="U52" s="406"/>
      <c r="V52" s="406"/>
      <c r="W52" s="406">
        <v>12489.48</v>
      </c>
      <c r="X52" s="406">
        <v>26158</v>
      </c>
      <c r="Y52" s="406">
        <v>28927.16</v>
      </c>
      <c r="Z52" s="406">
        <v>29600</v>
      </c>
      <c r="AA52" s="425"/>
      <c r="AB52" s="425"/>
      <c r="AC52" s="406">
        <v>68.75</v>
      </c>
      <c r="AD52" s="406">
        <v>1385.88</v>
      </c>
      <c r="AE52" s="406"/>
      <c r="AF52" s="406">
        <v>20391</v>
      </c>
      <c r="AG52" s="406">
        <v>9324.18</v>
      </c>
      <c r="AH52" s="406">
        <v>5742</v>
      </c>
      <c r="AI52" s="406">
        <v>878.87</v>
      </c>
      <c r="AJ52" s="406">
        <v>3415</v>
      </c>
      <c r="AK52" s="406"/>
      <c r="AL52" s="406"/>
      <c r="AM52" s="427"/>
      <c r="AN52" s="427"/>
      <c r="AO52" s="428">
        <v>-4121.1000000000004</v>
      </c>
      <c r="AP52" s="428">
        <v>10034</v>
      </c>
      <c r="AQ52" s="431"/>
      <c r="AR52" s="431"/>
      <c r="AS52" s="425"/>
      <c r="AT52" s="425"/>
      <c r="AU52" s="406"/>
      <c r="AV52" s="406"/>
      <c r="AW52" s="415"/>
      <c r="AX52" s="406">
        <v>138592</v>
      </c>
    </row>
    <row r="53" spans="1:50" x14ac:dyDescent="0.3">
      <c r="A53" s="350" t="s">
        <v>246</v>
      </c>
      <c r="B53" s="413"/>
      <c r="C53" s="404"/>
      <c r="D53" s="685"/>
      <c r="E53" s="406">
        <v>-2469.9499999999998</v>
      </c>
      <c r="F53" s="406"/>
      <c r="G53" s="415">
        <v>1301.05</v>
      </c>
      <c r="H53" s="406">
        <v>2145</v>
      </c>
      <c r="I53" s="406"/>
      <c r="J53" s="406"/>
      <c r="K53" s="406"/>
      <c r="L53" s="406"/>
      <c r="M53" s="418">
        <v>1567.45</v>
      </c>
      <c r="N53" s="418">
        <v>3700</v>
      </c>
      <c r="O53" s="406"/>
      <c r="P53" s="406"/>
      <c r="Q53" s="423">
        <v>21.5</v>
      </c>
      <c r="R53" s="423"/>
      <c r="S53" s="1012"/>
      <c r="T53" s="406">
        <v>79</v>
      </c>
      <c r="U53" s="406"/>
      <c r="V53" s="406"/>
      <c r="W53" s="406"/>
      <c r="X53" s="406"/>
      <c r="Y53" s="406"/>
      <c r="Z53" s="406"/>
      <c r="AA53" s="425">
        <v>-1504</v>
      </c>
      <c r="AB53" s="425">
        <v>-376</v>
      </c>
      <c r="AC53" s="406">
        <v>-205.96</v>
      </c>
      <c r="AD53" s="406">
        <v>-1312.49</v>
      </c>
      <c r="AE53" s="406"/>
      <c r="AF53" s="406"/>
      <c r="AG53" s="406"/>
      <c r="AH53" s="406"/>
      <c r="AI53" s="406"/>
      <c r="AJ53" s="406"/>
      <c r="AK53" s="406"/>
      <c r="AL53" s="406"/>
      <c r="AM53" s="427"/>
      <c r="AN53" s="427"/>
      <c r="AO53" s="428"/>
      <c r="AP53" s="428"/>
      <c r="AQ53" s="431"/>
      <c r="AR53" s="431"/>
      <c r="AS53" s="425">
        <v>5855.63</v>
      </c>
      <c r="AT53" s="425">
        <v>2498</v>
      </c>
      <c r="AU53" s="406"/>
      <c r="AV53" s="406"/>
      <c r="AW53" s="415"/>
      <c r="AX53" s="406"/>
    </row>
    <row r="54" spans="1:50" x14ac:dyDescent="0.3">
      <c r="A54" s="350" t="s">
        <v>226</v>
      </c>
      <c r="B54" s="413"/>
      <c r="C54" s="404"/>
      <c r="D54" s="685"/>
      <c r="E54" s="406"/>
      <c r="F54" s="406">
        <v>667</v>
      </c>
      <c r="G54" s="415"/>
      <c r="H54" s="406"/>
      <c r="I54" s="406"/>
      <c r="J54" s="406"/>
      <c r="K54" s="406"/>
      <c r="L54" s="406"/>
      <c r="M54" s="418"/>
      <c r="N54" s="418"/>
      <c r="O54" s="406"/>
      <c r="P54" s="406"/>
      <c r="Q54" s="423"/>
      <c r="R54" s="423"/>
      <c r="S54" s="1012"/>
      <c r="T54" s="406"/>
      <c r="U54" s="406"/>
      <c r="V54" s="406"/>
      <c r="W54" s="406"/>
      <c r="X54" s="406"/>
      <c r="Y54" s="406"/>
      <c r="Z54" s="406"/>
      <c r="AA54" s="425"/>
      <c r="AB54" s="425"/>
      <c r="AC54" s="406"/>
      <c r="AD54" s="406"/>
      <c r="AE54" s="406"/>
      <c r="AF54" s="406"/>
      <c r="AG54" s="406"/>
      <c r="AH54" s="406"/>
      <c r="AI54" s="406"/>
      <c r="AJ54" s="406"/>
      <c r="AK54" s="406"/>
      <c r="AL54" s="406"/>
      <c r="AM54" s="427"/>
      <c r="AN54" s="427"/>
      <c r="AO54" s="400"/>
      <c r="AP54" s="400"/>
      <c r="AQ54" s="431"/>
      <c r="AR54" s="431"/>
      <c r="AS54" s="425"/>
      <c r="AT54" s="425"/>
      <c r="AU54" s="406"/>
      <c r="AV54" s="406"/>
      <c r="AW54" s="415"/>
      <c r="AX54" s="406"/>
    </row>
    <row r="55" spans="1:50" x14ac:dyDescent="0.3">
      <c r="A55" s="350" t="s">
        <v>227</v>
      </c>
      <c r="B55" s="413"/>
      <c r="C55" s="404"/>
      <c r="D55" s="685"/>
      <c r="E55" s="406">
        <v>1042.1300000000001</v>
      </c>
      <c r="F55" s="406">
        <v>1175</v>
      </c>
      <c r="G55" s="415">
        <v>-41.55</v>
      </c>
      <c r="H55" s="406">
        <v>-334</v>
      </c>
      <c r="I55" s="406">
        <v>1837.43</v>
      </c>
      <c r="J55" s="406">
        <v>180</v>
      </c>
      <c r="K55" s="406">
        <v>1042.51</v>
      </c>
      <c r="L55" s="406">
        <v>1672</v>
      </c>
      <c r="M55" s="418">
        <v>-1982.4</v>
      </c>
      <c r="N55" s="418">
        <v>5846</v>
      </c>
      <c r="O55" s="406">
        <v>424</v>
      </c>
      <c r="P55" s="406">
        <v>526</v>
      </c>
      <c r="Q55" s="423">
        <v>60.57</v>
      </c>
      <c r="R55" s="423"/>
      <c r="S55" s="1012">
        <v>728.21</v>
      </c>
      <c r="T55" s="406"/>
      <c r="U55" s="406"/>
      <c r="V55" s="406">
        <v>1003</v>
      </c>
      <c r="W55" s="406">
        <v>-6568.22</v>
      </c>
      <c r="X55" s="406">
        <v>-1433</v>
      </c>
      <c r="Y55" s="406">
        <v>-13425.14</v>
      </c>
      <c r="Z55" s="406">
        <v>9895</v>
      </c>
      <c r="AA55" s="425">
        <v>3256</v>
      </c>
      <c r="AB55" s="425">
        <v>3820</v>
      </c>
      <c r="AC55" s="406">
        <v>12181.74</v>
      </c>
      <c r="AD55" s="406">
        <v>2267.83</v>
      </c>
      <c r="AE55" s="406">
        <v>2840.42</v>
      </c>
      <c r="AF55" s="406">
        <v>-2113</v>
      </c>
      <c r="AG55" s="406">
        <v>8878.36</v>
      </c>
      <c r="AH55" s="406">
        <v>15163</v>
      </c>
      <c r="AI55" s="406">
        <v>11321.12</v>
      </c>
      <c r="AJ55" s="406">
        <v>-351</v>
      </c>
      <c r="AK55" s="406">
        <v>720.59</v>
      </c>
      <c r="AL55" s="406">
        <v>-942</v>
      </c>
      <c r="AM55" s="427"/>
      <c r="AN55" s="427"/>
      <c r="AO55" s="428">
        <v>15313.97</v>
      </c>
      <c r="AP55" s="428">
        <v>17223</v>
      </c>
      <c r="AQ55" s="431">
        <v>4016.56</v>
      </c>
      <c r="AR55" s="431">
        <v>3092.03</v>
      </c>
      <c r="AS55" s="425">
        <v>2384.06</v>
      </c>
      <c r="AT55" s="425">
        <v>277</v>
      </c>
      <c r="AU55" s="406">
        <v>1031.83</v>
      </c>
      <c r="AV55" s="406">
        <v>24299</v>
      </c>
      <c r="AW55" s="415"/>
      <c r="AX55" s="406">
        <v>226824</v>
      </c>
    </row>
    <row r="56" spans="1:50" s="778" customFormat="1" ht="18" x14ac:dyDescent="0.35">
      <c r="A56" s="766" t="s">
        <v>259</v>
      </c>
      <c r="B56" s="767"/>
      <c r="C56" s="768">
        <v>9150.2900000000009</v>
      </c>
      <c r="D56" s="768">
        <v>4703</v>
      </c>
      <c r="E56" s="768">
        <v>-1427.82</v>
      </c>
      <c r="F56" s="768">
        <v>1842</v>
      </c>
      <c r="G56" s="768">
        <v>1259.5</v>
      </c>
      <c r="H56" s="768">
        <f>SUM(H53:H55)</f>
        <v>1811</v>
      </c>
      <c r="I56" s="768">
        <v>9770.5</v>
      </c>
      <c r="J56" s="768">
        <v>17291</v>
      </c>
      <c r="K56" s="768">
        <f>K46</f>
        <v>-8349.59</v>
      </c>
      <c r="L56" s="768">
        <v>-10025</v>
      </c>
      <c r="M56" s="768">
        <v>-414.95</v>
      </c>
      <c r="N56" s="768">
        <v>9546</v>
      </c>
      <c r="O56" s="768">
        <v>949</v>
      </c>
      <c r="P56" s="768">
        <v>3739</v>
      </c>
      <c r="Q56" s="768">
        <f>Q46</f>
        <v>82.06</v>
      </c>
      <c r="R56" s="768"/>
      <c r="S56" s="971">
        <f>S46</f>
        <v>728.21</v>
      </c>
      <c r="T56" s="768">
        <v>79</v>
      </c>
      <c r="U56" s="768"/>
      <c r="V56" s="768">
        <v>1003</v>
      </c>
      <c r="W56" s="768">
        <v>5921.26</v>
      </c>
      <c r="X56" s="768">
        <v>24725</v>
      </c>
      <c r="Y56" s="768">
        <v>15502.02</v>
      </c>
      <c r="Z56" s="768">
        <v>39495</v>
      </c>
      <c r="AA56" s="768">
        <v>1752</v>
      </c>
      <c r="AB56" s="768">
        <v>3444</v>
      </c>
      <c r="AC56" s="768">
        <v>12044.53</v>
      </c>
      <c r="AD56" s="768">
        <v>2341.2199999999998</v>
      </c>
      <c r="AE56" s="768">
        <v>32309.040000000001</v>
      </c>
      <c r="AF56" s="768">
        <v>18278</v>
      </c>
      <c r="AG56" s="768"/>
      <c r="AH56" s="768">
        <v>20904</v>
      </c>
      <c r="AI56" s="768">
        <v>12199.99</v>
      </c>
      <c r="AJ56" s="768">
        <v>3064</v>
      </c>
      <c r="AK56" s="768">
        <v>720.59</v>
      </c>
      <c r="AL56" s="768">
        <v>-942</v>
      </c>
      <c r="AM56" s="768">
        <f>AM46</f>
        <v>0</v>
      </c>
      <c r="AN56" s="768"/>
      <c r="AO56" s="768">
        <v>11192.87</v>
      </c>
      <c r="AP56" s="768">
        <v>27257</v>
      </c>
      <c r="AQ56" s="768">
        <v>4016.56</v>
      </c>
      <c r="AR56" s="768">
        <v>3092.03</v>
      </c>
      <c r="AS56" s="768">
        <v>8239.69</v>
      </c>
      <c r="AT56" s="768">
        <v>2775</v>
      </c>
      <c r="AU56" s="768">
        <v>1031.83</v>
      </c>
      <c r="AV56" s="768">
        <v>24299</v>
      </c>
      <c r="AW56" s="771"/>
      <c r="AX56" s="770">
        <v>365417</v>
      </c>
    </row>
    <row r="57" spans="1:50" ht="17.25" x14ac:dyDescent="0.35">
      <c r="A57" s="350" t="s">
        <v>228</v>
      </c>
      <c r="B57" s="413"/>
      <c r="C57" s="405">
        <f>271.75+7.7</f>
        <v>279.45</v>
      </c>
      <c r="D57" s="686">
        <f>176+5</f>
        <v>181</v>
      </c>
      <c r="E57" s="407">
        <v>2.5499999999999998</v>
      </c>
      <c r="F57" s="407">
        <v>2</v>
      </c>
      <c r="G57" s="416">
        <v>30.99</v>
      </c>
      <c r="H57" s="407">
        <v>22</v>
      </c>
      <c r="I57" s="407">
        <v>3376.82</v>
      </c>
      <c r="J57" s="407">
        <v>5074</v>
      </c>
      <c r="K57" s="407"/>
      <c r="L57" s="407"/>
      <c r="M57" s="418">
        <v>124.86</v>
      </c>
      <c r="N57" s="419">
        <v>287</v>
      </c>
      <c r="O57" s="407">
        <v>1</v>
      </c>
      <c r="P57" s="407">
        <v>1</v>
      </c>
      <c r="Q57" s="103">
        <v>0.55000000000000004</v>
      </c>
      <c r="R57" s="103">
        <v>2</v>
      </c>
      <c r="S57" s="213"/>
      <c r="T57" s="407"/>
      <c r="U57" s="407">
        <f>2592+1843</f>
        <v>4435</v>
      </c>
      <c r="V57" s="407">
        <f>33+58</f>
        <v>91</v>
      </c>
      <c r="W57" s="407">
        <f>10081.02+15461.34</f>
        <v>25542.36</v>
      </c>
      <c r="X57" s="407">
        <f>19441+12739</f>
        <v>32180</v>
      </c>
      <c r="Y57" s="407"/>
      <c r="Z57" s="407"/>
      <c r="AA57" s="424">
        <v>3</v>
      </c>
      <c r="AB57" s="424">
        <v>9</v>
      </c>
      <c r="AC57" s="407"/>
      <c r="AD57" s="407"/>
      <c r="AE57" s="426">
        <v>1006.88</v>
      </c>
      <c r="AF57" s="426">
        <v>1544</v>
      </c>
      <c r="AG57" s="407">
        <v>107.2</v>
      </c>
      <c r="AH57" s="407">
        <v>64</v>
      </c>
      <c r="AI57" s="407">
        <v>129.72</v>
      </c>
      <c r="AJ57" s="407">
        <v>87</v>
      </c>
      <c r="AK57" s="407">
        <v>14.38</v>
      </c>
      <c r="AL57" s="407">
        <v>18</v>
      </c>
      <c r="AM57" s="427"/>
      <c r="AN57" s="427"/>
      <c r="AO57" s="428">
        <v>1771.99</v>
      </c>
      <c r="AP57" s="428">
        <v>1948</v>
      </c>
      <c r="AQ57" s="431">
        <v>9.5399999999999991</v>
      </c>
      <c r="AR57" s="431">
        <v>15.57</v>
      </c>
      <c r="AS57" s="406">
        <v>0.09</v>
      </c>
      <c r="AT57" s="406"/>
      <c r="AU57" s="407"/>
      <c r="AV57" s="407"/>
      <c r="AW57" s="416"/>
      <c r="AX57" s="407">
        <v>60520</v>
      </c>
    </row>
    <row r="58" spans="1:50" x14ac:dyDescent="0.3">
      <c r="A58" s="350" t="s">
        <v>229</v>
      </c>
      <c r="B58" s="413"/>
      <c r="C58" s="404"/>
      <c r="D58" s="685"/>
      <c r="E58" s="406"/>
      <c r="F58" s="406"/>
      <c r="G58" s="415"/>
      <c r="H58" s="406"/>
      <c r="I58" s="406"/>
      <c r="J58" s="406"/>
      <c r="K58" s="406"/>
      <c r="L58" s="406"/>
      <c r="M58" s="418"/>
      <c r="N58" s="418"/>
      <c r="O58" s="406"/>
      <c r="P58" s="406"/>
      <c r="Q58" s="423">
        <v>0.49</v>
      </c>
      <c r="R58" s="423"/>
      <c r="S58" s="1012"/>
      <c r="T58" s="406"/>
      <c r="U58" s="406"/>
      <c r="V58" s="406"/>
      <c r="W58" s="406"/>
      <c r="X58" s="406"/>
      <c r="Y58" s="406"/>
      <c r="Z58" s="406"/>
      <c r="AA58" s="425"/>
      <c r="AB58" s="425"/>
      <c r="AC58" s="406"/>
      <c r="AD58" s="406"/>
      <c r="AE58" s="406"/>
      <c r="AF58" s="406"/>
      <c r="AG58" s="406">
        <v>130152.28</v>
      </c>
      <c r="AH58" s="406">
        <v>143397</v>
      </c>
      <c r="AI58" s="406"/>
      <c r="AJ58" s="406"/>
      <c r="AK58" s="406"/>
      <c r="AL58" s="406"/>
      <c r="AM58" s="427"/>
      <c r="AN58" s="427"/>
      <c r="AO58" s="400"/>
      <c r="AP58" s="400"/>
      <c r="AQ58" s="431">
        <v>9681.9699999999993</v>
      </c>
      <c r="AR58" s="431">
        <v>10684.2</v>
      </c>
      <c r="AS58" s="425"/>
      <c r="AT58" s="425"/>
      <c r="AU58" s="406"/>
      <c r="AV58" s="406"/>
      <c r="AW58" s="415"/>
      <c r="AX58" s="406"/>
    </row>
    <row r="59" spans="1:50" ht="17.25" thickBot="1" x14ac:dyDescent="0.35">
      <c r="A59" s="581" t="s">
        <v>230</v>
      </c>
      <c r="B59" s="582"/>
      <c r="C59" s="583">
        <v>9150.2900000000009</v>
      </c>
      <c r="D59" s="687">
        <v>4703</v>
      </c>
      <c r="E59" s="584">
        <v>-1427.82</v>
      </c>
      <c r="F59" s="584">
        <v>1842</v>
      </c>
      <c r="G59" s="585">
        <v>1259.5</v>
      </c>
      <c r="H59" s="584">
        <v>1811</v>
      </c>
      <c r="I59" s="584">
        <v>9770.5</v>
      </c>
      <c r="J59" s="584">
        <v>17291</v>
      </c>
      <c r="K59" s="584">
        <v>-8349.59</v>
      </c>
      <c r="L59" s="584">
        <v>-10025</v>
      </c>
      <c r="M59" s="586">
        <v>-414.95</v>
      </c>
      <c r="N59" s="586">
        <v>9546</v>
      </c>
      <c r="O59" s="584">
        <v>949</v>
      </c>
      <c r="P59" s="584">
        <v>3739</v>
      </c>
      <c r="Q59" s="587">
        <v>82.06</v>
      </c>
      <c r="R59" s="587">
        <v>82</v>
      </c>
      <c r="S59" s="1014"/>
      <c r="T59" s="584"/>
      <c r="U59" s="584"/>
      <c r="V59" s="584">
        <v>1003</v>
      </c>
      <c r="W59" s="584">
        <v>5921.26</v>
      </c>
      <c r="X59" s="584">
        <v>24725</v>
      </c>
      <c r="Y59" s="584"/>
      <c r="Z59" s="584"/>
      <c r="AA59" s="588">
        <v>1892</v>
      </c>
      <c r="AB59" s="588">
        <v>3594</v>
      </c>
      <c r="AC59" s="584">
        <v>12044.53</v>
      </c>
      <c r="AD59" s="584">
        <v>2341.2199999999998</v>
      </c>
      <c r="AE59" s="584">
        <v>2840.42</v>
      </c>
      <c r="AF59" s="584">
        <v>-2113</v>
      </c>
      <c r="AG59" s="584">
        <v>18202.55</v>
      </c>
      <c r="AH59" s="584">
        <v>23198</v>
      </c>
      <c r="AI59" s="584">
        <v>12199.99</v>
      </c>
      <c r="AJ59" s="584">
        <v>3064</v>
      </c>
      <c r="AK59" s="584">
        <v>720.59</v>
      </c>
      <c r="AL59" s="584">
        <v>-942</v>
      </c>
      <c r="AM59" s="589"/>
      <c r="AN59" s="589"/>
      <c r="AO59" s="590">
        <v>11192.87</v>
      </c>
      <c r="AP59" s="590">
        <v>27257</v>
      </c>
      <c r="AQ59" s="591">
        <v>545.86</v>
      </c>
      <c r="AR59" s="591">
        <v>3092.03</v>
      </c>
      <c r="AS59" s="588">
        <v>-3341</v>
      </c>
      <c r="AT59" s="588">
        <v>275</v>
      </c>
      <c r="AU59" s="591">
        <v>1031.83</v>
      </c>
      <c r="AV59" s="591">
        <v>24299</v>
      </c>
      <c r="AW59" s="585"/>
      <c r="AX59" s="584">
        <v>282476</v>
      </c>
    </row>
    <row r="60" spans="1:50" s="778" customFormat="1" ht="18.75" thickBot="1" x14ac:dyDescent="0.4">
      <c r="A60" s="779" t="s">
        <v>231</v>
      </c>
      <c r="B60" s="780"/>
      <c r="C60" s="781">
        <v>9429.74</v>
      </c>
      <c r="D60" s="782">
        <v>4884</v>
      </c>
      <c r="E60" s="783">
        <v>-1425.27</v>
      </c>
      <c r="F60" s="783">
        <v>1844</v>
      </c>
      <c r="G60" s="784">
        <v>1290.49</v>
      </c>
      <c r="H60" s="783">
        <v>1833</v>
      </c>
      <c r="I60" s="783">
        <v>13147.32</v>
      </c>
      <c r="J60" s="783">
        <v>22365</v>
      </c>
      <c r="K60" s="783">
        <v>-8349.59</v>
      </c>
      <c r="L60" s="783">
        <v>-10025</v>
      </c>
      <c r="M60" s="785">
        <v>-290.08999999999997</v>
      </c>
      <c r="N60" s="785">
        <v>9833</v>
      </c>
      <c r="O60" s="783">
        <v>950</v>
      </c>
      <c r="P60" s="783">
        <v>3740</v>
      </c>
      <c r="Q60" s="786">
        <v>83.09</v>
      </c>
      <c r="R60" s="786">
        <v>84</v>
      </c>
      <c r="S60" s="1015"/>
      <c r="T60" s="783"/>
      <c r="U60" s="783">
        <v>4435</v>
      </c>
      <c r="V60" s="783">
        <v>1094</v>
      </c>
      <c r="W60" s="783">
        <v>31463.62</v>
      </c>
      <c r="X60" s="783">
        <v>56905</v>
      </c>
      <c r="Y60" s="783"/>
      <c r="Z60" s="783"/>
      <c r="AA60" s="787">
        <v>1895</v>
      </c>
      <c r="AB60" s="787">
        <v>3603</v>
      </c>
      <c r="AC60" s="783">
        <v>12044.53</v>
      </c>
      <c r="AD60" s="783">
        <v>2341.2199999999998</v>
      </c>
      <c r="AE60" s="783">
        <v>3847.3</v>
      </c>
      <c r="AF60" s="783">
        <v>-569</v>
      </c>
      <c r="AG60" s="783">
        <v>148462.03</v>
      </c>
      <c r="AH60" s="783">
        <v>166659</v>
      </c>
      <c r="AI60" s="783">
        <v>12329.71</v>
      </c>
      <c r="AJ60" s="783">
        <v>3151</v>
      </c>
      <c r="AK60" s="783">
        <v>734.97</v>
      </c>
      <c r="AL60" s="783">
        <v>-923</v>
      </c>
      <c r="AM60" s="788"/>
      <c r="AN60" s="788"/>
      <c r="AO60" s="789">
        <v>12964.86</v>
      </c>
      <c r="AP60" s="789">
        <v>29205</v>
      </c>
      <c r="AQ60" s="790">
        <v>10237.370000000001</v>
      </c>
      <c r="AR60" s="790">
        <v>13791.8</v>
      </c>
      <c r="AS60" s="787">
        <v>-3341</v>
      </c>
      <c r="AT60" s="787">
        <v>275</v>
      </c>
      <c r="AU60" s="783">
        <v>1031.83</v>
      </c>
      <c r="AV60" s="783">
        <v>24299</v>
      </c>
      <c r="AW60" s="784"/>
      <c r="AX60" s="783">
        <v>342996</v>
      </c>
    </row>
  </sheetData>
  <mergeCells count="26">
    <mergeCell ref="A1:AX1"/>
    <mergeCell ref="A2:A3"/>
    <mergeCell ref="C2:D2"/>
    <mergeCell ref="E2:F2"/>
    <mergeCell ref="G2:H2"/>
    <mergeCell ref="I2:J2"/>
    <mergeCell ref="K2:L2"/>
    <mergeCell ref="M2:N2"/>
    <mergeCell ref="O2:P2"/>
    <mergeCell ref="Q2:R2"/>
    <mergeCell ref="Y2:Z2"/>
    <mergeCell ref="W2:X2"/>
    <mergeCell ref="U2:V2"/>
    <mergeCell ref="S2:T2"/>
    <mergeCell ref="AG2:AH2"/>
    <mergeCell ref="AE2:AF2"/>
    <mergeCell ref="AC2:AD2"/>
    <mergeCell ref="AA2:AB2"/>
    <mergeCell ref="AU2:AV2"/>
    <mergeCell ref="AW2:AX2"/>
    <mergeCell ref="AI2:AJ2"/>
    <mergeCell ref="AK2:AL2"/>
    <mergeCell ref="AM2:AN2"/>
    <mergeCell ref="AO2:AP2"/>
    <mergeCell ref="AQ2:AR2"/>
    <mergeCell ref="AS2:AT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BA42"/>
  <sheetViews>
    <sheetView workbookViewId="0">
      <pane xSplit="1" topLeftCell="B1" activePane="topRight" state="frozen"/>
      <selection pane="topRight" activeCell="AX42" sqref="AX42"/>
    </sheetView>
  </sheetViews>
  <sheetFormatPr defaultRowHeight="12.75" x14ac:dyDescent="0.25"/>
  <cols>
    <col min="1" max="1" width="40.5703125" style="1019" customWidth="1"/>
    <col min="2" max="2" width="10.5703125" style="1019" bestFit="1" customWidth="1"/>
    <col min="3" max="3" width="10.5703125" style="90" bestFit="1" customWidth="1"/>
    <col min="4" max="4" width="10.5703125" style="90" customWidth="1"/>
    <col min="5" max="15" width="10.5703125" style="90" bestFit="1" customWidth="1"/>
    <col min="16" max="16" width="9" style="90" customWidth="1"/>
    <col min="17" max="18" width="10.5703125" style="90" bestFit="1" customWidth="1"/>
    <col min="19" max="19" width="10.5703125" style="90" customWidth="1"/>
    <col min="20" max="38" width="10.5703125" style="90" bestFit="1" customWidth="1"/>
    <col min="39" max="40" width="10.5703125" style="1019" bestFit="1" customWidth="1"/>
    <col min="41" max="49" width="10.5703125" style="90" bestFit="1" customWidth="1"/>
    <col min="50" max="50" width="12" style="90" bestFit="1" customWidth="1"/>
    <col min="51" max="51" width="10.5703125" style="90" bestFit="1" customWidth="1"/>
    <col min="52" max="52" width="12" style="90" bestFit="1" customWidth="1"/>
    <col min="53" max="53" width="10.5703125" style="176" bestFit="1" customWidth="1"/>
    <col min="54" max="16384" width="9.140625" style="1019"/>
  </cols>
  <sheetData>
    <row r="1" spans="1:53" ht="42.75" customHeight="1" thickBot="1" x14ac:dyDescent="0.4">
      <c r="A1" s="1018" t="s">
        <v>327</v>
      </c>
      <c r="B1" s="1365" t="s">
        <v>159</v>
      </c>
      <c r="C1" s="1366"/>
      <c r="D1" s="1333" t="s">
        <v>160</v>
      </c>
      <c r="E1" s="1334"/>
      <c r="F1" s="1333" t="s">
        <v>161</v>
      </c>
      <c r="G1" s="1334"/>
      <c r="H1" s="1333" t="s">
        <v>162</v>
      </c>
      <c r="I1" s="1334"/>
      <c r="J1" s="1333" t="s">
        <v>163</v>
      </c>
      <c r="K1" s="1334"/>
      <c r="L1" s="1333" t="s">
        <v>164</v>
      </c>
      <c r="M1" s="1334"/>
      <c r="N1" s="1333" t="s">
        <v>315</v>
      </c>
      <c r="O1" s="1334"/>
      <c r="P1" s="1333" t="s">
        <v>165</v>
      </c>
      <c r="Q1" s="1334"/>
      <c r="R1" s="1333" t="s">
        <v>166</v>
      </c>
      <c r="S1" s="1334"/>
      <c r="T1" s="1333" t="s">
        <v>167</v>
      </c>
      <c r="U1" s="1334"/>
      <c r="V1" s="1333" t="s">
        <v>168</v>
      </c>
      <c r="W1" s="1334"/>
      <c r="X1" s="1333" t="s">
        <v>169</v>
      </c>
      <c r="Y1" s="1334"/>
      <c r="Z1" s="1333" t="s">
        <v>325</v>
      </c>
      <c r="AA1" s="1334"/>
      <c r="AB1" s="1333" t="s">
        <v>170</v>
      </c>
      <c r="AC1" s="1334"/>
      <c r="AD1" s="1333" t="s">
        <v>171</v>
      </c>
      <c r="AE1" s="1334"/>
      <c r="AF1" s="1333" t="s">
        <v>172</v>
      </c>
      <c r="AG1" s="1334"/>
      <c r="AH1" s="1333" t="s">
        <v>173</v>
      </c>
      <c r="AI1" s="1334"/>
      <c r="AJ1" s="1333" t="s">
        <v>174</v>
      </c>
      <c r="AK1" s="1334"/>
      <c r="AL1" s="1333" t="s">
        <v>175</v>
      </c>
      <c r="AM1" s="1334"/>
      <c r="AN1" s="1333" t="s">
        <v>176</v>
      </c>
      <c r="AO1" s="1334"/>
      <c r="AP1" s="1333" t="s">
        <v>177</v>
      </c>
      <c r="AQ1" s="1334"/>
      <c r="AR1" s="1333" t="s">
        <v>178</v>
      </c>
      <c r="AS1" s="1334"/>
      <c r="AT1" s="1333" t="s">
        <v>179</v>
      </c>
      <c r="AU1" s="1334"/>
      <c r="AV1" s="1363" t="s">
        <v>1</v>
      </c>
      <c r="AW1" s="1364"/>
      <c r="AX1" s="1333" t="s">
        <v>180</v>
      </c>
      <c r="AY1" s="1334"/>
      <c r="AZ1" s="1363" t="s">
        <v>2</v>
      </c>
      <c r="BA1" s="1364"/>
    </row>
    <row r="2" spans="1:53" s="491" customFormat="1" ht="31.5" customHeight="1" thickBot="1" x14ac:dyDescent="0.35">
      <c r="A2" s="525" t="s">
        <v>0</v>
      </c>
      <c r="B2" s="1020" t="s">
        <v>385</v>
      </c>
      <c r="C2" s="1021" t="s">
        <v>386</v>
      </c>
      <c r="D2" s="1020" t="s">
        <v>385</v>
      </c>
      <c r="E2" s="1021" t="s">
        <v>386</v>
      </c>
      <c r="F2" s="1020" t="s">
        <v>385</v>
      </c>
      <c r="G2" s="1021" t="s">
        <v>386</v>
      </c>
      <c r="H2" s="1020" t="s">
        <v>385</v>
      </c>
      <c r="I2" s="1021" t="s">
        <v>386</v>
      </c>
      <c r="J2" s="1020" t="s">
        <v>385</v>
      </c>
      <c r="K2" s="1021" t="s">
        <v>386</v>
      </c>
      <c r="L2" s="1020" t="s">
        <v>385</v>
      </c>
      <c r="M2" s="1021" t="s">
        <v>386</v>
      </c>
      <c r="N2" s="1020" t="s">
        <v>385</v>
      </c>
      <c r="O2" s="1021" t="s">
        <v>386</v>
      </c>
      <c r="P2" s="1020" t="s">
        <v>385</v>
      </c>
      <c r="Q2" s="1021" t="s">
        <v>386</v>
      </c>
      <c r="R2" s="1020" t="s">
        <v>385</v>
      </c>
      <c r="S2" s="1021" t="s">
        <v>386</v>
      </c>
      <c r="T2" s="1020" t="s">
        <v>385</v>
      </c>
      <c r="U2" s="1021" t="s">
        <v>386</v>
      </c>
      <c r="V2" s="1020" t="s">
        <v>385</v>
      </c>
      <c r="W2" s="1021" t="s">
        <v>386</v>
      </c>
      <c r="X2" s="1020" t="s">
        <v>385</v>
      </c>
      <c r="Y2" s="1021" t="s">
        <v>386</v>
      </c>
      <c r="Z2" s="1020" t="s">
        <v>385</v>
      </c>
      <c r="AA2" s="1021" t="s">
        <v>386</v>
      </c>
      <c r="AB2" s="1020" t="s">
        <v>385</v>
      </c>
      <c r="AC2" s="1021" t="s">
        <v>386</v>
      </c>
      <c r="AD2" s="1020" t="s">
        <v>385</v>
      </c>
      <c r="AE2" s="1021" t="s">
        <v>386</v>
      </c>
      <c r="AF2" s="1020" t="s">
        <v>385</v>
      </c>
      <c r="AG2" s="1021" t="s">
        <v>386</v>
      </c>
      <c r="AH2" s="1020" t="s">
        <v>385</v>
      </c>
      <c r="AI2" s="1021" t="s">
        <v>386</v>
      </c>
      <c r="AJ2" s="1020" t="s">
        <v>385</v>
      </c>
      <c r="AK2" s="1021" t="s">
        <v>386</v>
      </c>
      <c r="AL2" s="1020" t="s">
        <v>385</v>
      </c>
      <c r="AM2" s="1021" t="s">
        <v>386</v>
      </c>
      <c r="AN2" s="1020" t="s">
        <v>385</v>
      </c>
      <c r="AO2" s="1021" t="s">
        <v>386</v>
      </c>
      <c r="AP2" s="1020" t="s">
        <v>385</v>
      </c>
      <c r="AQ2" s="1021" t="s">
        <v>386</v>
      </c>
      <c r="AR2" s="1020" t="s">
        <v>385</v>
      </c>
      <c r="AS2" s="1021" t="s">
        <v>386</v>
      </c>
      <c r="AT2" s="1020" t="s">
        <v>385</v>
      </c>
      <c r="AU2" s="1021" t="s">
        <v>386</v>
      </c>
      <c r="AV2" s="1020" t="s">
        <v>385</v>
      </c>
      <c r="AW2" s="1021" t="s">
        <v>386</v>
      </c>
      <c r="AX2" s="1020" t="s">
        <v>385</v>
      </c>
      <c r="AY2" s="1021" t="s">
        <v>386</v>
      </c>
      <c r="AZ2" s="1020" t="s">
        <v>385</v>
      </c>
      <c r="BA2" s="1021" t="s">
        <v>386</v>
      </c>
    </row>
    <row r="3" spans="1:53" ht="14.25" x14ac:dyDescent="0.3">
      <c r="A3" s="409" t="s">
        <v>328</v>
      </c>
      <c r="B3" s="1022"/>
      <c r="C3" s="1023"/>
      <c r="D3" s="1024"/>
      <c r="E3" s="1023"/>
      <c r="F3" s="1024"/>
      <c r="G3" s="1023"/>
      <c r="H3" s="1024"/>
      <c r="I3" s="1023"/>
      <c r="J3" s="1024"/>
      <c r="K3" s="1023"/>
      <c r="L3" s="1024"/>
      <c r="M3" s="1023"/>
      <c r="N3" s="1024"/>
      <c r="O3" s="1023"/>
      <c r="P3" s="1024"/>
      <c r="Q3" s="1023"/>
      <c r="R3" s="1024"/>
      <c r="S3" s="1023"/>
      <c r="T3" s="1024"/>
      <c r="U3" s="1023"/>
      <c r="V3" s="1024"/>
      <c r="W3" s="1023"/>
      <c r="X3" s="1024"/>
      <c r="Y3" s="1023"/>
      <c r="Z3" s="1024"/>
      <c r="AA3" s="1023"/>
      <c r="AB3" s="1024"/>
      <c r="AC3" s="1025"/>
      <c r="AD3" s="1026"/>
      <c r="AE3" s="1025"/>
      <c r="AF3" s="1026"/>
      <c r="AG3" s="1025"/>
      <c r="AH3" s="1026"/>
      <c r="AI3" s="1025"/>
      <c r="AJ3" s="1026"/>
      <c r="AK3" s="1025"/>
      <c r="AL3" s="1026"/>
      <c r="AM3" s="1027"/>
      <c r="AN3" s="1028"/>
      <c r="AO3" s="1025"/>
      <c r="AP3" s="1026"/>
      <c r="AQ3" s="1025"/>
      <c r="AR3" s="1026"/>
      <c r="AS3" s="1023"/>
      <c r="AT3" s="1024"/>
      <c r="AU3" s="1025"/>
      <c r="AV3" s="1024"/>
      <c r="AW3" s="1025"/>
      <c r="AX3" s="1024"/>
      <c r="AY3" s="1023"/>
      <c r="AZ3" s="1024"/>
      <c r="BA3" s="1029"/>
    </row>
    <row r="4" spans="1:53" ht="13.5" x14ac:dyDescent="0.3">
      <c r="A4" s="1030" t="s">
        <v>329</v>
      </c>
      <c r="B4" s="1031"/>
      <c r="C4" s="1032"/>
      <c r="D4" s="577"/>
      <c r="E4" s="1032"/>
      <c r="F4" s="577" t="s">
        <v>330</v>
      </c>
      <c r="G4" s="1032" t="s">
        <v>330</v>
      </c>
      <c r="H4" s="577"/>
      <c r="I4" s="1032"/>
      <c r="J4" s="577"/>
      <c r="K4" s="1032"/>
      <c r="L4" s="577"/>
      <c r="M4" s="1032"/>
      <c r="N4" s="577"/>
      <c r="O4" s="1032"/>
      <c r="P4" s="577"/>
      <c r="Q4" s="1032"/>
      <c r="R4" s="577"/>
      <c r="S4" s="1032"/>
      <c r="T4" s="577"/>
      <c r="U4" s="1032"/>
      <c r="V4" s="577"/>
      <c r="W4" s="1032"/>
      <c r="X4" s="577"/>
      <c r="Y4" s="1032"/>
      <c r="Z4" s="577"/>
      <c r="AA4" s="1032"/>
      <c r="AB4" s="577"/>
      <c r="AC4" s="89"/>
      <c r="AD4" s="1033"/>
      <c r="AE4" s="89"/>
      <c r="AF4" s="1033"/>
      <c r="AG4" s="89"/>
      <c r="AH4" s="1033"/>
      <c r="AI4" s="89"/>
      <c r="AJ4" s="1033"/>
      <c r="AK4" s="89"/>
      <c r="AL4" s="1033"/>
      <c r="AM4" s="1034"/>
      <c r="AN4" s="1035"/>
      <c r="AO4" s="89"/>
      <c r="AP4" s="1033"/>
      <c r="AQ4" s="89"/>
      <c r="AR4" s="1033"/>
      <c r="AS4" s="1032"/>
      <c r="AT4" s="577"/>
      <c r="AU4" s="89"/>
      <c r="AV4" s="577"/>
      <c r="AW4" s="89"/>
      <c r="AX4" s="577"/>
      <c r="AY4" s="1032"/>
      <c r="AZ4" s="577"/>
      <c r="BA4" s="1036"/>
    </row>
    <row r="5" spans="1:53" x14ac:dyDescent="0.25">
      <c r="A5" s="350" t="s">
        <v>331</v>
      </c>
      <c r="B5" s="704"/>
      <c r="C5" s="1032"/>
      <c r="D5" s="577"/>
      <c r="E5" s="1032"/>
      <c r="F5" s="577"/>
      <c r="G5" s="1032"/>
      <c r="H5" s="577"/>
      <c r="I5" s="1032"/>
      <c r="J5" s="577"/>
      <c r="K5" s="1032"/>
      <c r="L5" s="577"/>
      <c r="M5" s="1032"/>
      <c r="N5" s="577"/>
      <c r="O5" s="1032"/>
      <c r="P5" s="577"/>
      <c r="Q5" s="1032"/>
      <c r="R5" s="577"/>
      <c r="S5" s="1032"/>
      <c r="T5" s="577"/>
      <c r="U5" s="1032"/>
      <c r="V5" s="577"/>
      <c r="W5" s="1032"/>
      <c r="X5" s="577"/>
      <c r="Y5" s="1032"/>
      <c r="Z5" s="577"/>
      <c r="AA5" s="1032"/>
      <c r="AB5" s="577"/>
      <c r="AC5" s="89"/>
      <c r="AD5" s="1033"/>
      <c r="AE5" s="89"/>
      <c r="AF5" s="1033"/>
      <c r="AG5" s="89"/>
      <c r="AH5" s="1033"/>
      <c r="AI5" s="89"/>
      <c r="AJ5" s="1033"/>
      <c r="AK5" s="89"/>
      <c r="AL5" s="1033"/>
      <c r="AM5" s="1034"/>
      <c r="AN5" s="1035"/>
      <c r="AO5" s="89"/>
      <c r="AP5" s="1033"/>
      <c r="AQ5" s="89"/>
      <c r="AR5" s="1033"/>
      <c r="AS5" s="1032"/>
      <c r="AT5" s="577"/>
      <c r="AU5" s="89"/>
      <c r="AV5" s="577"/>
      <c r="AW5" s="89"/>
      <c r="AX5" s="577"/>
      <c r="AY5" s="1032"/>
      <c r="AZ5" s="577"/>
      <c r="BA5" s="1036"/>
    </row>
    <row r="6" spans="1:53" x14ac:dyDescent="0.25">
      <c r="A6" s="350" t="s">
        <v>332</v>
      </c>
      <c r="B6" s="704"/>
      <c r="C6" s="1032"/>
      <c r="D6" s="577"/>
      <c r="E6" s="1032"/>
      <c r="F6" s="577"/>
      <c r="G6" s="1032"/>
      <c r="H6" s="577"/>
      <c r="I6" s="1032"/>
      <c r="J6" s="577"/>
      <c r="K6" s="1032"/>
      <c r="L6" s="577"/>
      <c r="M6" s="1032"/>
      <c r="N6" s="577"/>
      <c r="O6" s="1032"/>
      <c r="P6" s="577"/>
      <c r="Q6" s="1032"/>
      <c r="R6" s="577"/>
      <c r="S6" s="1032"/>
      <c r="T6" s="577"/>
      <c r="U6" s="1032"/>
      <c r="V6" s="577"/>
      <c r="W6" s="1032"/>
      <c r="X6" s="577"/>
      <c r="Y6" s="1032"/>
      <c r="Z6" s="577"/>
      <c r="AA6" s="1032"/>
      <c r="AB6" s="577"/>
      <c r="AC6" s="89"/>
      <c r="AD6" s="1033"/>
      <c r="AE6" s="89"/>
      <c r="AF6" s="1033"/>
      <c r="AG6" s="89"/>
      <c r="AH6" s="1033"/>
      <c r="AI6" s="89"/>
      <c r="AJ6" s="1033"/>
      <c r="AK6" s="89"/>
      <c r="AL6" s="1033"/>
      <c r="AM6" s="1034"/>
      <c r="AN6" s="1035"/>
      <c r="AO6" s="89"/>
      <c r="AP6" s="1033"/>
      <c r="AQ6" s="89"/>
      <c r="AR6" s="1033"/>
      <c r="AS6" s="1032"/>
      <c r="AT6" s="577"/>
      <c r="AU6" s="89"/>
      <c r="AV6" s="577"/>
      <c r="AW6" s="89"/>
      <c r="AX6" s="577">
        <v>1171912</v>
      </c>
      <c r="AY6" s="1032">
        <v>1053827</v>
      </c>
      <c r="AZ6" s="577">
        <f>AV6+AX6</f>
        <v>1171912</v>
      </c>
      <c r="BA6" s="97">
        <f>AW6+AY6</f>
        <v>1053827</v>
      </c>
    </row>
    <row r="7" spans="1:53" x14ac:dyDescent="0.25">
      <c r="A7" s="350" t="s">
        <v>333</v>
      </c>
      <c r="B7" s="704"/>
      <c r="C7" s="1032"/>
      <c r="D7" s="577"/>
      <c r="E7" s="1032"/>
      <c r="F7" s="577"/>
      <c r="G7" s="1032"/>
      <c r="H7" s="577"/>
      <c r="I7" s="1032"/>
      <c r="J7" s="577"/>
      <c r="K7" s="1032"/>
      <c r="L7" s="577"/>
      <c r="M7" s="1032"/>
      <c r="N7" s="577"/>
      <c r="O7" s="1032"/>
      <c r="P7" s="577"/>
      <c r="Q7" s="1032"/>
      <c r="R7" s="577"/>
      <c r="S7" s="1032"/>
      <c r="T7" s="577"/>
      <c r="U7" s="1032"/>
      <c r="V7" s="577"/>
      <c r="W7" s="1032"/>
      <c r="X7" s="577"/>
      <c r="Y7" s="1032"/>
      <c r="Z7" s="577"/>
      <c r="AA7" s="1032"/>
      <c r="AB7" s="577"/>
      <c r="AC7" s="89"/>
      <c r="AD7" s="1033"/>
      <c r="AE7" s="89"/>
      <c r="AF7" s="1033"/>
      <c r="AG7" s="89"/>
      <c r="AH7" s="1033"/>
      <c r="AI7" s="89"/>
      <c r="AJ7" s="1033"/>
      <c r="AK7" s="89"/>
      <c r="AL7" s="1033"/>
      <c r="AM7" s="1034"/>
      <c r="AN7" s="1035"/>
      <c r="AO7" s="89"/>
      <c r="AP7" s="1033"/>
      <c r="AQ7" s="89"/>
      <c r="AR7" s="1033"/>
      <c r="AS7" s="1032"/>
      <c r="AT7" s="577"/>
      <c r="AU7" s="89"/>
      <c r="AV7" s="577"/>
      <c r="AW7" s="89"/>
      <c r="AX7" s="577">
        <v>1177.56</v>
      </c>
      <c r="AY7" s="1032">
        <v>1101.94</v>
      </c>
      <c r="AZ7" s="577">
        <f>AV7+AX7</f>
        <v>1177.56</v>
      </c>
      <c r="BA7" s="97">
        <f>AW7+AY7</f>
        <v>1101.94</v>
      </c>
    </row>
    <row r="8" spans="1:53" x14ac:dyDescent="0.25">
      <c r="A8" s="350" t="s">
        <v>334</v>
      </c>
      <c r="B8" s="704"/>
      <c r="C8" s="1032"/>
      <c r="D8" s="577"/>
      <c r="E8" s="1032"/>
      <c r="F8" s="577"/>
      <c r="G8" s="1032"/>
      <c r="H8" s="577"/>
      <c r="I8" s="1032"/>
      <c r="J8" s="577"/>
      <c r="K8" s="1032"/>
      <c r="L8" s="577"/>
      <c r="M8" s="1032"/>
      <c r="N8" s="577"/>
      <c r="O8" s="1032"/>
      <c r="P8" s="577"/>
      <c r="Q8" s="1032"/>
      <c r="R8" s="577"/>
      <c r="S8" s="1032"/>
      <c r="T8" s="577"/>
      <c r="U8" s="1032"/>
      <c r="V8" s="577"/>
      <c r="W8" s="1032"/>
      <c r="X8" s="577"/>
      <c r="Y8" s="1032"/>
      <c r="Z8" s="577"/>
      <c r="AA8" s="1032"/>
      <c r="AB8" s="577"/>
      <c r="AC8" s="89"/>
      <c r="AD8" s="1033"/>
      <c r="AE8" s="89"/>
      <c r="AF8" s="1033"/>
      <c r="AG8" s="89"/>
      <c r="AH8" s="1033"/>
      <c r="AI8" s="89"/>
      <c r="AJ8" s="1033"/>
      <c r="AK8" s="89"/>
      <c r="AL8" s="1033"/>
      <c r="AM8" s="1034"/>
      <c r="AN8" s="1035"/>
      <c r="AO8" s="89"/>
      <c r="AP8" s="1033"/>
      <c r="AQ8" s="89"/>
      <c r="AR8" s="1033"/>
      <c r="AS8" s="1032"/>
      <c r="AT8" s="577"/>
      <c r="AU8" s="89"/>
      <c r="AV8" s="577"/>
      <c r="AW8" s="89"/>
      <c r="AX8" s="577"/>
      <c r="AY8" s="1032"/>
      <c r="AZ8" s="577"/>
      <c r="BA8" s="97"/>
    </row>
    <row r="9" spans="1:53" x14ac:dyDescent="0.25">
      <c r="A9" s="350" t="s">
        <v>335</v>
      </c>
      <c r="B9" s="704">
        <v>23677</v>
      </c>
      <c r="C9" s="1032">
        <v>31972</v>
      </c>
      <c r="D9" s="577">
        <v>263</v>
      </c>
      <c r="E9" s="1032">
        <v>276</v>
      </c>
      <c r="F9" s="577"/>
      <c r="G9" s="1032"/>
      <c r="H9" s="577">
        <v>48460</v>
      </c>
      <c r="I9" s="1032">
        <v>54016</v>
      </c>
      <c r="J9" s="577">
        <v>2635</v>
      </c>
      <c r="K9" s="1032">
        <v>3374</v>
      </c>
      <c r="L9" s="577">
        <v>424</v>
      </c>
      <c r="M9" s="1032">
        <v>1003</v>
      </c>
      <c r="N9" s="577">
        <v>6895</v>
      </c>
      <c r="O9" s="1032">
        <v>9837</v>
      </c>
      <c r="P9" s="577">
        <v>1580</v>
      </c>
      <c r="Q9" s="1032">
        <v>2265</v>
      </c>
      <c r="R9" s="577">
        <v>54645</v>
      </c>
      <c r="S9" s="1032">
        <v>64926</v>
      </c>
      <c r="T9" s="577">
        <v>2915</v>
      </c>
      <c r="U9" s="1032">
        <v>5497</v>
      </c>
      <c r="V9" s="577">
        <v>47835</v>
      </c>
      <c r="W9" s="1032">
        <v>70345</v>
      </c>
      <c r="X9" s="577">
        <v>71375</v>
      </c>
      <c r="Y9" s="1032">
        <v>100629</v>
      </c>
      <c r="Z9" s="577">
        <v>1059</v>
      </c>
      <c r="AA9" s="1032">
        <v>1617</v>
      </c>
      <c r="AB9" s="577">
        <v>1619.29</v>
      </c>
      <c r="AC9" s="89">
        <v>2536.08</v>
      </c>
      <c r="AD9" s="1033">
        <v>6798</v>
      </c>
      <c r="AE9" s="89">
        <v>8230</v>
      </c>
      <c r="AF9" s="1033">
        <v>56230</v>
      </c>
      <c r="AG9" s="89">
        <v>70169</v>
      </c>
      <c r="AH9" s="1033">
        <v>9835</v>
      </c>
      <c r="AI9" s="89">
        <v>18324</v>
      </c>
      <c r="AJ9" s="1033">
        <v>6686</v>
      </c>
      <c r="AK9" s="89">
        <v>8867</v>
      </c>
      <c r="AL9" s="1033"/>
      <c r="AM9" s="1034"/>
      <c r="AN9" s="1035">
        <v>12326</v>
      </c>
      <c r="AO9" s="89">
        <v>18998</v>
      </c>
      <c r="AP9" s="1033">
        <v>6732.62</v>
      </c>
      <c r="AQ9" s="89">
        <v>9890.1</v>
      </c>
      <c r="AR9" s="1033">
        <v>1365</v>
      </c>
      <c r="AS9" s="1032">
        <v>1903</v>
      </c>
      <c r="AT9" s="577">
        <v>48912</v>
      </c>
      <c r="AU9" s="89">
        <v>51909</v>
      </c>
      <c r="AV9" s="127">
        <f>SUM(B9+D9+F9+H9+J9+L9+N9+P9+R9+T9+V9+X9+Z9+AB9+AD9+AF9+AH9+AJ9+AL9+AN9+AP9+AR9+AT9)</f>
        <v>412266.91</v>
      </c>
      <c r="AW9" s="159">
        <f>SUM(C9+E9+G9+I9+K9+M9+O9+Q9+S9+U9+W9+Y9+AA9+AC9+AE9+AG9+AI9+AK9+AM9+AO9+AQ9+AS9+AU9)</f>
        <v>536583.17999999993</v>
      </c>
      <c r="AX9" s="577">
        <v>10152841</v>
      </c>
      <c r="AY9" s="1032">
        <v>10687842.289999999</v>
      </c>
      <c r="AZ9" s="577">
        <f t="shared" ref="AZ9:BA13" si="0">AV9+AX9</f>
        <v>10565107.91</v>
      </c>
      <c r="BA9" s="95">
        <f t="shared" si="0"/>
        <v>11224425.469999999</v>
      </c>
    </row>
    <row r="10" spans="1:53" x14ac:dyDescent="0.25">
      <c r="A10" s="350" t="s">
        <v>336</v>
      </c>
      <c r="B10" s="704"/>
      <c r="C10" s="1032"/>
      <c r="D10" s="577"/>
      <c r="E10" s="1037"/>
      <c r="F10" s="702"/>
      <c r="G10" s="1032"/>
      <c r="H10" s="577"/>
      <c r="I10" s="1032"/>
      <c r="J10" s="577"/>
      <c r="K10" s="1032"/>
      <c r="L10" s="577"/>
      <c r="M10" s="1032"/>
      <c r="N10" s="577"/>
      <c r="O10" s="1032"/>
      <c r="P10" s="577"/>
      <c r="Q10" s="1032"/>
      <c r="R10" s="577"/>
      <c r="S10" s="1032"/>
      <c r="T10" s="577"/>
      <c r="U10" s="1032"/>
      <c r="V10" s="577"/>
      <c r="W10" s="1032"/>
      <c r="X10" s="577"/>
      <c r="Y10" s="1032"/>
      <c r="Z10" s="577"/>
      <c r="AA10" s="1032"/>
      <c r="AB10" s="577"/>
      <c r="AC10" s="89"/>
      <c r="AD10" s="1033"/>
      <c r="AE10" s="89"/>
      <c r="AF10" s="1033"/>
      <c r="AG10" s="89"/>
      <c r="AH10" s="1033"/>
      <c r="AI10" s="89"/>
      <c r="AJ10" s="1033"/>
      <c r="AK10" s="89"/>
      <c r="AL10" s="1033"/>
      <c r="AM10" s="1034"/>
      <c r="AN10" s="1035">
        <v>21123</v>
      </c>
      <c r="AO10" s="89">
        <v>19173</v>
      </c>
      <c r="AP10" s="1033"/>
      <c r="AQ10" s="89"/>
      <c r="AR10" s="1033"/>
      <c r="AS10" s="1032"/>
      <c r="AT10" s="577"/>
      <c r="AU10" s="89"/>
      <c r="AV10" s="577"/>
      <c r="AW10" s="89"/>
      <c r="AX10" s="577">
        <f>352342+86640+0.02</f>
        <v>438982.02</v>
      </c>
      <c r="AY10" s="1032">
        <f>249790+56348+0.02</f>
        <v>306138.02</v>
      </c>
      <c r="AZ10" s="577">
        <f t="shared" si="0"/>
        <v>438982.02</v>
      </c>
      <c r="BA10" s="97">
        <f t="shared" si="0"/>
        <v>306138.02</v>
      </c>
    </row>
    <row r="11" spans="1:53" ht="13.5" x14ac:dyDescent="0.3">
      <c r="A11" s="1030" t="s">
        <v>337</v>
      </c>
      <c r="B11" s="1031"/>
      <c r="C11" s="1032"/>
      <c r="D11" s="577">
        <v>6862</v>
      </c>
      <c r="E11" s="1032">
        <v>7251</v>
      </c>
      <c r="F11" s="577"/>
      <c r="G11" s="1032"/>
      <c r="H11" s="577"/>
      <c r="I11" s="1032"/>
      <c r="J11" s="577"/>
      <c r="K11" s="1032"/>
      <c r="L11" s="577"/>
      <c r="M11" s="1032"/>
      <c r="N11" s="577"/>
      <c r="O11" s="1032"/>
      <c r="P11" s="577"/>
      <c r="Q11" s="1032"/>
      <c r="R11" s="577">
        <v>39</v>
      </c>
      <c r="S11" s="1032">
        <v>23</v>
      </c>
      <c r="T11" s="577">
        <v>2</v>
      </c>
      <c r="U11" s="1032">
        <v>7</v>
      </c>
      <c r="V11" s="577"/>
      <c r="W11" s="1032"/>
      <c r="X11" s="577"/>
      <c r="Y11" s="1032"/>
      <c r="Z11" s="577"/>
      <c r="AA11" s="1032"/>
      <c r="AB11" s="577"/>
      <c r="AC11" s="89"/>
      <c r="AD11" s="1033"/>
      <c r="AE11" s="89"/>
      <c r="AF11" s="1033"/>
      <c r="AG11" s="89">
        <v>12190</v>
      </c>
      <c r="AH11" s="1033"/>
      <c r="AI11" s="89"/>
      <c r="AJ11" s="1033"/>
      <c r="AK11" s="89"/>
      <c r="AL11" s="1033"/>
      <c r="AM11" s="1034"/>
      <c r="AN11" s="1035"/>
      <c r="AO11" s="89"/>
      <c r="AP11" s="1033"/>
      <c r="AQ11" s="89"/>
      <c r="AR11" s="1033"/>
      <c r="AS11" s="1032"/>
      <c r="AT11" s="577"/>
      <c r="AU11" s="89"/>
      <c r="AV11" s="577"/>
      <c r="AW11" s="89"/>
      <c r="AX11" s="577">
        <v>277621</v>
      </c>
      <c r="AY11" s="1032">
        <v>212159</v>
      </c>
      <c r="AZ11" s="577">
        <f t="shared" si="0"/>
        <v>277621</v>
      </c>
      <c r="BA11" s="97">
        <f t="shared" si="0"/>
        <v>212159</v>
      </c>
    </row>
    <row r="12" spans="1:53" ht="13.5" x14ac:dyDescent="0.3">
      <c r="A12" s="1030" t="s">
        <v>338</v>
      </c>
      <c r="B12" s="1031"/>
      <c r="C12" s="1032"/>
      <c r="D12" s="577"/>
      <c r="E12" s="1032"/>
      <c r="F12" s="577"/>
      <c r="G12" s="1032"/>
      <c r="H12" s="577"/>
      <c r="I12" s="1032"/>
      <c r="J12" s="577"/>
      <c r="K12" s="1032"/>
      <c r="L12" s="577"/>
      <c r="M12" s="1032"/>
      <c r="N12" s="577"/>
      <c r="O12" s="1032"/>
      <c r="P12" s="577">
        <f>29-12</f>
        <v>17</v>
      </c>
      <c r="Q12" s="1032">
        <f>66-1</f>
        <v>65</v>
      </c>
      <c r="R12" s="577"/>
      <c r="S12" s="1032"/>
      <c r="T12" s="577"/>
      <c r="U12" s="1032"/>
      <c r="V12" s="577"/>
      <c r="W12" s="1032"/>
      <c r="X12" s="577"/>
      <c r="Y12" s="1032"/>
      <c r="Z12" s="577"/>
      <c r="AA12" s="1032"/>
      <c r="AB12" s="577"/>
      <c r="AC12" s="89"/>
      <c r="AD12" s="1033"/>
      <c r="AE12" s="89"/>
      <c r="AF12" s="1033"/>
      <c r="AG12" s="89"/>
      <c r="AH12" s="1033"/>
      <c r="AI12" s="89"/>
      <c r="AJ12" s="1033"/>
      <c r="AK12" s="89"/>
      <c r="AL12" s="1033"/>
      <c r="AM12" s="1034"/>
      <c r="AN12" s="1035"/>
      <c r="AO12" s="89"/>
      <c r="AP12" s="1033"/>
      <c r="AQ12" s="89"/>
      <c r="AR12" s="1033"/>
      <c r="AS12" s="1032"/>
      <c r="AT12" s="577"/>
      <c r="AU12" s="89"/>
      <c r="AV12" s="577"/>
      <c r="AW12" s="89"/>
      <c r="AX12" s="577">
        <v>-1246611.77</v>
      </c>
      <c r="AY12" s="1032">
        <v>-1107346.77</v>
      </c>
      <c r="AZ12" s="577">
        <f t="shared" si="0"/>
        <v>-1246611.77</v>
      </c>
      <c r="BA12" s="97">
        <f t="shared" si="0"/>
        <v>-1107346.77</v>
      </c>
    </row>
    <row r="13" spans="1:53" s="1048" customFormat="1" ht="14.25" x14ac:dyDescent="0.3">
      <c r="A13" s="766" t="s">
        <v>54</v>
      </c>
      <c r="B13" s="1038">
        <f>B9</f>
        <v>23677</v>
      </c>
      <c r="C13" s="1039">
        <f>C9</f>
        <v>31972</v>
      </c>
      <c r="D13" s="1038">
        <f>D9+D11</f>
        <v>7125</v>
      </c>
      <c r="E13" s="1040">
        <f>E9+E11</f>
        <v>7527</v>
      </c>
      <c r="F13" s="1041">
        <f>F9+F11</f>
        <v>0</v>
      </c>
      <c r="G13" s="1039">
        <f>G9+G11</f>
        <v>0</v>
      </c>
      <c r="H13" s="1038">
        <f>H9</f>
        <v>48460</v>
      </c>
      <c r="I13" s="1039">
        <f>I9</f>
        <v>54016</v>
      </c>
      <c r="J13" s="1038">
        <f>J9</f>
        <v>2635</v>
      </c>
      <c r="K13" s="1039">
        <f>K9</f>
        <v>3374</v>
      </c>
      <c r="L13" s="1038">
        <f>L9</f>
        <v>424</v>
      </c>
      <c r="M13" s="1039">
        <f>SUM(M5:M11)</f>
        <v>1003</v>
      </c>
      <c r="N13" s="1038">
        <f>N9</f>
        <v>6895</v>
      </c>
      <c r="O13" s="1039">
        <f>SUM(O5:O11)</f>
        <v>9837</v>
      </c>
      <c r="P13" s="1038">
        <f>P9+P12</f>
        <v>1597</v>
      </c>
      <c r="Q13" s="1039">
        <f>SUM(Q5:Q12)</f>
        <v>2330</v>
      </c>
      <c r="R13" s="1038">
        <f>R9</f>
        <v>54645</v>
      </c>
      <c r="S13" s="1039">
        <f>SUM(S5:S11)</f>
        <v>64949</v>
      </c>
      <c r="T13" s="1038">
        <f>T9+T11</f>
        <v>2917</v>
      </c>
      <c r="U13" s="1039">
        <f>SUM(U5:U11)</f>
        <v>5504</v>
      </c>
      <c r="V13" s="1038">
        <f>V9</f>
        <v>47835</v>
      </c>
      <c r="W13" s="1039">
        <f>SUM(W5:W11)</f>
        <v>70345</v>
      </c>
      <c r="X13" s="1038">
        <f>X9</f>
        <v>71375</v>
      </c>
      <c r="Y13" s="1039">
        <f>SUM(Y5:Y11)</f>
        <v>100629</v>
      </c>
      <c r="Z13" s="1038">
        <f>Z9</f>
        <v>1059</v>
      </c>
      <c r="AA13" s="1039">
        <f>AA9</f>
        <v>1617</v>
      </c>
      <c r="AB13" s="1038">
        <f>SUM(AB5:AB11)</f>
        <v>1619.29</v>
      </c>
      <c r="AC13" s="1042">
        <f>AC9</f>
        <v>2536.08</v>
      </c>
      <c r="AD13" s="1043">
        <f>SUM(AD5:AD11)</f>
        <v>6798</v>
      </c>
      <c r="AE13" s="1042">
        <f>SUM(AE5:AE11)</f>
        <v>8230</v>
      </c>
      <c r="AF13" s="1043">
        <f>AF9</f>
        <v>56230</v>
      </c>
      <c r="AG13" s="1042">
        <f>AG9+AG11</f>
        <v>82359</v>
      </c>
      <c r="AH13" s="1043">
        <f>AH9</f>
        <v>9835</v>
      </c>
      <c r="AI13" s="1042">
        <f>AI9</f>
        <v>18324</v>
      </c>
      <c r="AJ13" s="1043">
        <f>AJ9</f>
        <v>6686</v>
      </c>
      <c r="AK13" s="1042">
        <f>SUM(AK5:AK11)</f>
        <v>8867</v>
      </c>
      <c r="AL13" s="1043"/>
      <c r="AM13" s="1044"/>
      <c r="AN13" s="1045">
        <f>SUM(AN5:AN11)</f>
        <v>33449</v>
      </c>
      <c r="AO13" s="1042">
        <f>SUM(AO5:AO11)</f>
        <v>38171</v>
      </c>
      <c r="AP13" s="1043">
        <f>AP9</f>
        <v>6732.62</v>
      </c>
      <c r="AQ13" s="1042">
        <f>SUM(AQ5:AQ11)</f>
        <v>9890.1</v>
      </c>
      <c r="AR13" s="1043">
        <f>AR9</f>
        <v>1365</v>
      </c>
      <c r="AS13" s="1039">
        <f>SUM(AS5:AS11)</f>
        <v>1903</v>
      </c>
      <c r="AT13" s="1038">
        <f>AT9</f>
        <v>48912</v>
      </c>
      <c r="AU13" s="1042">
        <f>AU9</f>
        <v>51909</v>
      </c>
      <c r="AV13" s="1041">
        <f>SUM(B13+D13+F13+H13+J13+L13+N13+P13+R13+T13+V13+X13+Z13+AB13+AD13+AF13+AH13+AJ13+AL13+AN13+AP13+AR13+AT13)</f>
        <v>440270.91</v>
      </c>
      <c r="AW13" s="1046">
        <f>SUM(C13+E13+G13+I13+K13+M13+O13+Q13+S13+U13+W13+Y13+AA13+AC13+AE13+AG13+AI13+AK13+AM13+AO13+AQ13+AS13+AU13)</f>
        <v>575292.17999999993</v>
      </c>
      <c r="AX13" s="1038">
        <f>SUM(AX6:AX12)</f>
        <v>10795921.810000001</v>
      </c>
      <c r="AY13" s="1039">
        <f>SUM(AY6:AY12)</f>
        <v>11153721.479999999</v>
      </c>
      <c r="AZ13" s="1041">
        <f t="shared" si="0"/>
        <v>11236192.720000001</v>
      </c>
      <c r="BA13" s="1047">
        <f t="shared" si="0"/>
        <v>11729013.659999998</v>
      </c>
    </row>
    <row r="14" spans="1:53" ht="14.25" x14ac:dyDescent="0.3">
      <c r="A14" s="408" t="s">
        <v>339</v>
      </c>
      <c r="B14" s="1049"/>
      <c r="C14" s="1032"/>
      <c r="D14" s="577"/>
      <c r="E14" s="1032"/>
      <c r="F14" s="577"/>
      <c r="G14" s="1032"/>
      <c r="H14" s="577"/>
      <c r="I14" s="1032"/>
      <c r="J14" s="577"/>
      <c r="K14" s="1032"/>
      <c r="L14" s="577"/>
      <c r="M14" s="1032"/>
      <c r="N14" s="577"/>
      <c r="O14" s="1032"/>
      <c r="P14" s="577"/>
      <c r="Q14" s="1032"/>
      <c r="R14" s="577"/>
      <c r="S14" s="1032"/>
      <c r="T14" s="577"/>
      <c r="U14" s="1032"/>
      <c r="V14" s="577"/>
      <c r="W14" s="1032"/>
      <c r="X14" s="577"/>
      <c r="Y14" s="1032"/>
      <c r="Z14" s="577"/>
      <c r="AA14" s="1032"/>
      <c r="AB14" s="577"/>
      <c r="AC14" s="89"/>
      <c r="AD14" s="1033"/>
      <c r="AE14" s="89"/>
      <c r="AF14" s="1033"/>
      <c r="AG14" s="89"/>
      <c r="AH14" s="1033"/>
      <c r="AI14" s="89"/>
      <c r="AJ14" s="1033"/>
      <c r="AK14" s="89"/>
      <c r="AL14" s="1033"/>
      <c r="AM14" s="1034"/>
      <c r="AN14" s="1035"/>
      <c r="AO14" s="89"/>
      <c r="AP14" s="1033"/>
      <c r="AQ14" s="89"/>
      <c r="AR14" s="1033"/>
      <c r="AS14" s="1032"/>
      <c r="AT14" s="577"/>
      <c r="AU14" s="89"/>
      <c r="AV14" s="577"/>
      <c r="AW14" s="89"/>
      <c r="AX14" s="577"/>
      <c r="AY14" s="1032"/>
      <c r="AZ14" s="577"/>
      <c r="BA14" s="97"/>
    </row>
    <row r="15" spans="1:53" x14ac:dyDescent="0.25">
      <c r="A15" s="350" t="s">
        <v>340</v>
      </c>
      <c r="B15" s="704"/>
      <c r="C15" s="1032"/>
      <c r="D15" s="577"/>
      <c r="E15" s="1032"/>
      <c r="F15" s="577"/>
      <c r="G15" s="1032"/>
      <c r="H15" s="577"/>
      <c r="I15" s="1032"/>
      <c r="J15" s="577"/>
      <c r="K15" s="1032"/>
      <c r="L15" s="577"/>
      <c r="M15" s="1032"/>
      <c r="N15" s="577"/>
      <c r="O15" s="1032"/>
      <c r="P15" s="577"/>
      <c r="Q15" s="1032"/>
      <c r="R15" s="577"/>
      <c r="S15" s="1032"/>
      <c r="T15" s="577"/>
      <c r="U15" s="1032"/>
      <c r="V15" s="577"/>
      <c r="W15" s="1032"/>
      <c r="X15" s="577"/>
      <c r="Y15" s="1032"/>
      <c r="Z15" s="577"/>
      <c r="AA15" s="1032"/>
      <c r="AB15" s="577"/>
      <c r="AC15" s="89"/>
      <c r="AD15" s="1033"/>
      <c r="AE15" s="89"/>
      <c r="AF15" s="1033"/>
      <c r="AG15" s="89"/>
      <c r="AH15" s="1033"/>
      <c r="AI15" s="89"/>
      <c r="AJ15" s="1033"/>
      <c r="AK15" s="89"/>
      <c r="AL15" s="1033"/>
      <c r="AM15" s="1034"/>
      <c r="AN15" s="1035"/>
      <c r="AO15" s="89"/>
      <c r="AP15" s="1033"/>
      <c r="AQ15" s="89"/>
      <c r="AR15" s="1033"/>
      <c r="AS15" s="1032"/>
      <c r="AT15" s="577"/>
      <c r="AU15" s="89"/>
      <c r="AV15" s="577"/>
      <c r="AW15" s="89"/>
      <c r="AX15" s="577">
        <v>217239</v>
      </c>
      <c r="AY15" s="1032">
        <v>172335</v>
      </c>
      <c r="AZ15" s="577">
        <f>AV15+AX15</f>
        <v>217239</v>
      </c>
      <c r="BA15" s="97">
        <f>AW15+AY15</f>
        <v>172335</v>
      </c>
    </row>
    <row r="16" spans="1:53" x14ac:dyDescent="0.25">
      <c r="A16" s="350" t="s">
        <v>341</v>
      </c>
      <c r="B16" s="704"/>
      <c r="C16" s="1032"/>
      <c r="D16" s="577"/>
      <c r="E16" s="1037"/>
      <c r="F16" s="702"/>
      <c r="G16" s="1032"/>
      <c r="H16" s="577"/>
      <c r="I16" s="1032"/>
      <c r="J16" s="577"/>
      <c r="K16" s="1032"/>
      <c r="L16" s="577"/>
      <c r="M16" s="1032"/>
      <c r="N16" s="577"/>
      <c r="O16" s="1032"/>
      <c r="P16" s="577"/>
      <c r="Q16" s="1032"/>
      <c r="R16" s="577"/>
      <c r="S16" s="1032"/>
      <c r="T16" s="577"/>
      <c r="U16" s="1032"/>
      <c r="V16" s="577"/>
      <c r="W16" s="1032"/>
      <c r="X16" s="577"/>
      <c r="Y16" s="1032"/>
      <c r="Z16" s="577"/>
      <c r="AA16" s="1032"/>
      <c r="AB16" s="577"/>
      <c r="AC16" s="89"/>
      <c r="AD16" s="1033"/>
      <c r="AE16" s="89"/>
      <c r="AF16" s="1033"/>
      <c r="AG16" s="89"/>
      <c r="AH16" s="1033"/>
      <c r="AI16" s="89"/>
      <c r="AJ16" s="1033"/>
      <c r="AK16" s="89"/>
      <c r="AL16" s="1033"/>
      <c r="AM16" s="1034"/>
      <c r="AN16" s="1035">
        <v>21123</v>
      </c>
      <c r="AO16" s="89">
        <v>19173</v>
      </c>
      <c r="AP16" s="1033"/>
      <c r="AQ16" s="89"/>
      <c r="AR16" s="1033"/>
      <c r="AS16" s="1032"/>
      <c r="AT16" s="577"/>
      <c r="AU16" s="89"/>
      <c r="AV16" s="577"/>
      <c r="AW16" s="89"/>
      <c r="AX16" s="577"/>
      <c r="AY16" s="1032"/>
      <c r="AZ16" s="577"/>
      <c r="BA16" s="97"/>
    </row>
    <row r="17" spans="1:53" x14ac:dyDescent="0.25">
      <c r="A17" s="350" t="s">
        <v>342</v>
      </c>
      <c r="B17" s="704"/>
      <c r="C17" s="1032"/>
      <c r="D17" s="577"/>
      <c r="E17" s="1032"/>
      <c r="F17" s="577"/>
      <c r="G17" s="1032"/>
      <c r="H17" s="577"/>
      <c r="I17" s="1032"/>
      <c r="J17" s="577"/>
      <c r="K17" s="1032"/>
      <c r="L17" s="577"/>
      <c r="M17" s="1032"/>
      <c r="N17" s="577"/>
      <c r="O17" s="1032"/>
      <c r="P17" s="577"/>
      <c r="Q17" s="1032"/>
      <c r="R17" s="577"/>
      <c r="S17" s="1032"/>
      <c r="T17" s="577"/>
      <c r="U17" s="1032"/>
      <c r="V17" s="577"/>
      <c r="W17" s="1032"/>
      <c r="X17" s="577"/>
      <c r="Y17" s="1032"/>
      <c r="Z17" s="577"/>
      <c r="AA17" s="1032"/>
      <c r="AB17" s="577"/>
      <c r="AC17" s="89"/>
      <c r="AD17" s="1033"/>
      <c r="AE17" s="89"/>
      <c r="AF17" s="1033"/>
      <c r="AG17" s="89"/>
      <c r="AH17" s="1033"/>
      <c r="AI17" s="89"/>
      <c r="AJ17" s="1033"/>
      <c r="AK17" s="89"/>
      <c r="AL17" s="1033"/>
      <c r="AM17" s="1034"/>
      <c r="AN17" s="1035"/>
      <c r="AO17" s="89"/>
      <c r="AP17" s="1033"/>
      <c r="AQ17" s="89"/>
      <c r="AR17" s="1033"/>
      <c r="AS17" s="1032"/>
      <c r="AT17" s="577"/>
      <c r="AU17" s="89"/>
      <c r="AV17" s="577"/>
      <c r="AW17" s="89"/>
      <c r="AX17" s="577"/>
      <c r="AY17" s="1032"/>
      <c r="AZ17" s="577"/>
      <c r="BA17" s="97"/>
    </row>
    <row r="18" spans="1:53" x14ac:dyDescent="0.25">
      <c r="A18" s="350" t="s">
        <v>343</v>
      </c>
      <c r="B18" s="704"/>
      <c r="C18" s="1032"/>
      <c r="D18" s="577"/>
      <c r="E18" s="1032"/>
      <c r="F18" s="577"/>
      <c r="G18" s="1032"/>
      <c r="H18" s="577"/>
      <c r="I18" s="1032"/>
      <c r="J18" s="577"/>
      <c r="K18" s="1032"/>
      <c r="L18" s="577"/>
      <c r="M18" s="1032"/>
      <c r="N18" s="577"/>
      <c r="O18" s="1032"/>
      <c r="P18" s="577"/>
      <c r="Q18" s="1032"/>
      <c r="R18" s="577"/>
      <c r="S18" s="1032"/>
      <c r="T18" s="577"/>
      <c r="U18" s="1032"/>
      <c r="V18" s="577"/>
      <c r="W18" s="1032"/>
      <c r="X18" s="577"/>
      <c r="Y18" s="1032"/>
      <c r="Z18" s="577"/>
      <c r="AA18" s="1032"/>
      <c r="AB18" s="577"/>
      <c r="AC18" s="89"/>
      <c r="AD18" s="1033"/>
      <c r="AE18" s="89"/>
      <c r="AF18" s="1033"/>
      <c r="AG18" s="89"/>
      <c r="AH18" s="1033"/>
      <c r="AI18" s="89"/>
      <c r="AJ18" s="1033"/>
      <c r="AK18" s="89"/>
      <c r="AL18" s="1033"/>
      <c r="AM18" s="1034"/>
      <c r="AN18" s="1035"/>
      <c r="AO18" s="89"/>
      <c r="AP18" s="1033"/>
      <c r="AQ18" s="89"/>
      <c r="AR18" s="1033"/>
      <c r="AS18" s="1032"/>
      <c r="AT18" s="577"/>
      <c r="AU18" s="89"/>
      <c r="AV18" s="577"/>
      <c r="AW18" s="89"/>
      <c r="AX18" s="577">
        <v>1149093</v>
      </c>
      <c r="AY18" s="1032">
        <v>1050094</v>
      </c>
      <c r="AZ18" s="577">
        <f>AV18+AX18</f>
        <v>1149093</v>
      </c>
      <c r="BA18" s="97">
        <f>AW18+AY18</f>
        <v>1050094</v>
      </c>
    </row>
    <row r="19" spans="1:53" x14ac:dyDescent="0.25">
      <c r="A19" s="350" t="s">
        <v>344</v>
      </c>
      <c r="B19" s="704">
        <f>B9</f>
        <v>23677</v>
      </c>
      <c r="C19" s="1032">
        <f>C9</f>
        <v>31972</v>
      </c>
      <c r="D19" s="577">
        <v>263</v>
      </c>
      <c r="E19" s="1032">
        <v>276</v>
      </c>
      <c r="F19" s="577"/>
      <c r="G19" s="1032"/>
      <c r="H19" s="577">
        <f>H13</f>
        <v>48460</v>
      </c>
      <c r="I19" s="1032">
        <f t="shared" ref="I19:N19" si="1">I9</f>
        <v>54016</v>
      </c>
      <c r="J19" s="577">
        <f t="shared" si="1"/>
        <v>2635</v>
      </c>
      <c r="K19" s="1032">
        <f t="shared" si="1"/>
        <v>3374</v>
      </c>
      <c r="L19" s="577">
        <f t="shared" si="1"/>
        <v>424</v>
      </c>
      <c r="M19" s="1032">
        <f t="shared" si="1"/>
        <v>1003</v>
      </c>
      <c r="N19" s="577">
        <f t="shared" si="1"/>
        <v>6895</v>
      </c>
      <c r="O19" s="1032">
        <f>O13</f>
        <v>9837</v>
      </c>
      <c r="P19" s="577">
        <f>P9</f>
        <v>1580</v>
      </c>
      <c r="Q19" s="1032">
        <f>Q9</f>
        <v>2265</v>
      </c>
      <c r="R19" s="577">
        <v>54645</v>
      </c>
      <c r="S19" s="1032">
        <v>64926</v>
      </c>
      <c r="T19" s="577">
        <v>2915</v>
      </c>
      <c r="U19" s="1032">
        <v>5497</v>
      </c>
      <c r="V19" s="577">
        <f>V9</f>
        <v>47835</v>
      </c>
      <c r="W19" s="1032">
        <v>70345</v>
      </c>
      <c r="X19" s="577">
        <f>X9</f>
        <v>71375</v>
      </c>
      <c r="Y19" s="1032">
        <f>Y9</f>
        <v>100629</v>
      </c>
      <c r="Z19" s="577">
        <v>1059</v>
      </c>
      <c r="AA19" s="1032">
        <v>1617</v>
      </c>
      <c r="AB19" s="577">
        <f>AB13</f>
        <v>1619.29</v>
      </c>
      <c r="AC19" s="89">
        <f>AC13</f>
        <v>2536.08</v>
      </c>
      <c r="AD19" s="1033">
        <v>6798</v>
      </c>
      <c r="AE19" s="89">
        <v>8230</v>
      </c>
      <c r="AF19" s="1033">
        <v>56230</v>
      </c>
      <c r="AG19" s="89">
        <v>70169</v>
      </c>
      <c r="AH19" s="1033">
        <f>AH9</f>
        <v>9835</v>
      </c>
      <c r="AI19" s="89">
        <f>AI9</f>
        <v>18324</v>
      </c>
      <c r="AJ19" s="1033">
        <f>AJ9</f>
        <v>6686</v>
      </c>
      <c r="AK19" s="89">
        <f>AK13</f>
        <v>8867</v>
      </c>
      <c r="AL19" s="1033"/>
      <c r="AM19" s="1034"/>
      <c r="AN19" s="1035">
        <v>12326</v>
      </c>
      <c r="AO19" s="89">
        <v>18998</v>
      </c>
      <c r="AP19" s="1033">
        <f>AP9</f>
        <v>6732.62</v>
      </c>
      <c r="AQ19" s="89">
        <f>AQ9</f>
        <v>9890.1</v>
      </c>
      <c r="AR19" s="1033">
        <f>AR9</f>
        <v>1365</v>
      </c>
      <c r="AS19" s="1032">
        <f>AS13</f>
        <v>1903</v>
      </c>
      <c r="AT19" s="577">
        <f>AT9</f>
        <v>48912</v>
      </c>
      <c r="AU19" s="89">
        <f>AU9</f>
        <v>51909</v>
      </c>
      <c r="AV19" s="577">
        <f>SUM(B19+D19+F19+H19+J19+L19+N19+P19+R19+T19+V19+X19+Z19+AB19+AD19+AF19+AH19+AJ19+AL19+AN19+AP19+AR19+AT19)</f>
        <v>412266.91</v>
      </c>
      <c r="AW19" s="1050">
        <f>SUM(C19+E19+G19+I19+K19+M19+O19+Q19+S19+U19+W19+Y19+AA19+AC19+AE19+AG19+AI19+AK19+AM19+AO19+AQ19+AS19+AU19)</f>
        <v>536583.17999999993</v>
      </c>
      <c r="AX19" s="577">
        <v>10152841</v>
      </c>
      <c r="AY19" s="1032">
        <v>10687842</v>
      </c>
      <c r="AZ19" s="577">
        <f>AV19+AX19</f>
        <v>10565107.91</v>
      </c>
      <c r="BA19" s="97">
        <f>AW19+AY19</f>
        <v>11224425.18</v>
      </c>
    </row>
    <row r="20" spans="1:53" x14ac:dyDescent="0.25">
      <c r="A20" s="350" t="s">
        <v>345</v>
      </c>
      <c r="B20" s="704"/>
      <c r="C20" s="1032"/>
      <c r="D20" s="577">
        <v>6861</v>
      </c>
      <c r="E20" s="1032">
        <v>7251</v>
      </c>
      <c r="F20" s="577"/>
      <c r="G20" s="1032"/>
      <c r="H20" s="577"/>
      <c r="I20" s="1032"/>
      <c r="J20" s="577"/>
      <c r="K20" s="1032"/>
      <c r="L20" s="577"/>
      <c r="M20" s="1032"/>
      <c r="N20" s="577"/>
      <c r="O20" s="1032"/>
      <c r="P20" s="577">
        <v>17</v>
      </c>
      <c r="Q20" s="1032">
        <v>65</v>
      </c>
      <c r="R20" s="577">
        <v>39</v>
      </c>
      <c r="S20" s="1032">
        <v>23</v>
      </c>
      <c r="T20" s="577">
        <v>2</v>
      </c>
      <c r="U20" s="1032">
        <v>7</v>
      </c>
      <c r="V20" s="577"/>
      <c r="W20" s="1032"/>
      <c r="X20" s="577"/>
      <c r="Y20" s="1032"/>
      <c r="Z20" s="577"/>
      <c r="AA20" s="1032"/>
      <c r="AB20" s="577"/>
      <c r="AC20" s="89"/>
      <c r="AD20" s="1033"/>
      <c r="AE20" s="89"/>
      <c r="AF20" s="1033"/>
      <c r="AG20" s="89">
        <v>12190</v>
      </c>
      <c r="AH20" s="1033"/>
      <c r="AI20" s="89"/>
      <c r="AJ20" s="1033"/>
      <c r="AK20" s="89"/>
      <c r="AL20" s="1033"/>
      <c r="AM20" s="1034"/>
      <c r="AN20" s="1035"/>
      <c r="AO20" s="89"/>
      <c r="AP20" s="1033"/>
      <c r="AQ20" s="89"/>
      <c r="AR20" s="1033"/>
      <c r="AS20" s="1032"/>
      <c r="AT20" s="577"/>
      <c r="AU20" s="89"/>
      <c r="AV20" s="577"/>
      <c r="AW20" s="89"/>
      <c r="AX20" s="577">
        <f>32511+5280+118459+616+38233+2666+325592+0.06</f>
        <v>523357.06</v>
      </c>
      <c r="AY20" s="1032">
        <f>29585.88+4452.5+76631.92+616+20377+1999+247133.35+0.06</f>
        <v>380795.71</v>
      </c>
      <c r="AZ20" s="577">
        <f>AV20+AX20</f>
        <v>523357.06</v>
      </c>
      <c r="BA20" s="97"/>
    </row>
    <row r="21" spans="1:53" ht="13.5" x14ac:dyDescent="0.3">
      <c r="A21" s="1030" t="s">
        <v>338</v>
      </c>
      <c r="B21" s="1031"/>
      <c r="C21" s="1032"/>
      <c r="D21" s="577"/>
      <c r="E21" s="1032"/>
      <c r="F21" s="577"/>
      <c r="G21" s="1032"/>
      <c r="H21" s="577"/>
      <c r="I21" s="1032"/>
      <c r="J21" s="577"/>
      <c r="K21" s="1032"/>
      <c r="L21" s="577"/>
      <c r="M21" s="1032"/>
      <c r="N21" s="577"/>
      <c r="O21" s="1032"/>
      <c r="P21" s="577"/>
      <c r="Q21" s="1032"/>
      <c r="R21" s="577"/>
      <c r="S21" s="1032"/>
      <c r="T21" s="577"/>
      <c r="U21" s="1032"/>
      <c r="V21" s="577"/>
      <c r="W21" s="1032"/>
      <c r="X21" s="577"/>
      <c r="Y21" s="1032"/>
      <c r="Z21" s="577"/>
      <c r="AA21" s="1032"/>
      <c r="AB21" s="577"/>
      <c r="AC21" s="89"/>
      <c r="AD21" s="1033"/>
      <c r="AE21" s="89"/>
      <c r="AF21" s="1033"/>
      <c r="AG21" s="89"/>
      <c r="AH21" s="1033"/>
      <c r="AI21" s="89"/>
      <c r="AJ21" s="1033"/>
      <c r="AK21" s="89"/>
      <c r="AL21" s="1033"/>
      <c r="AM21" s="1034"/>
      <c r="AN21" s="1035"/>
      <c r="AO21" s="89"/>
      <c r="AP21" s="1033"/>
      <c r="AQ21" s="89"/>
      <c r="AR21" s="1033"/>
      <c r="AS21" s="1032"/>
      <c r="AT21" s="577"/>
      <c r="AU21" s="89"/>
      <c r="AV21" s="577"/>
      <c r="AW21" s="89"/>
      <c r="AX21" s="577">
        <v>-1246611.77</v>
      </c>
      <c r="AY21" s="1032">
        <v>-1107346</v>
      </c>
      <c r="AZ21" s="577">
        <f>AV21+AX21</f>
        <v>-1246611.77</v>
      </c>
      <c r="BA21" s="97"/>
    </row>
    <row r="22" spans="1:53" s="1048" customFormat="1" ht="14.25" x14ac:dyDescent="0.3">
      <c r="A22" s="766" t="s">
        <v>54</v>
      </c>
      <c r="B22" s="1038">
        <f>B9</f>
        <v>23677</v>
      </c>
      <c r="C22" s="1039">
        <f>C9</f>
        <v>31972</v>
      </c>
      <c r="D22" s="1038">
        <f>D13</f>
        <v>7125</v>
      </c>
      <c r="E22" s="1040">
        <f>E13</f>
        <v>7527</v>
      </c>
      <c r="F22" s="1041"/>
      <c r="G22" s="1039"/>
      <c r="H22" s="1038">
        <f>H13</f>
        <v>48460</v>
      </c>
      <c r="I22" s="1039">
        <f>I19</f>
        <v>54016</v>
      </c>
      <c r="J22" s="1038">
        <f>J9</f>
        <v>2635</v>
      </c>
      <c r="K22" s="1039">
        <f>K9</f>
        <v>3374</v>
      </c>
      <c r="L22" s="1038">
        <f>L9</f>
        <v>424</v>
      </c>
      <c r="M22" s="1039">
        <f>M9</f>
        <v>1003</v>
      </c>
      <c r="N22" s="1038">
        <f>N9</f>
        <v>6895</v>
      </c>
      <c r="O22" s="1039">
        <f>O13</f>
        <v>9837</v>
      </c>
      <c r="P22" s="1038">
        <v>1598</v>
      </c>
      <c r="Q22" s="1039">
        <v>2330</v>
      </c>
      <c r="R22" s="1038">
        <v>54684</v>
      </c>
      <c r="S22" s="1039">
        <v>64949</v>
      </c>
      <c r="T22" s="1038">
        <v>2917</v>
      </c>
      <c r="U22" s="1039">
        <v>5504</v>
      </c>
      <c r="V22" s="1038">
        <f>V9</f>
        <v>47835</v>
      </c>
      <c r="W22" s="1039">
        <f>W9</f>
        <v>70345</v>
      </c>
      <c r="X22" s="1038">
        <f>X13</f>
        <v>71375</v>
      </c>
      <c r="Y22" s="1039">
        <f>Y13</f>
        <v>100629</v>
      </c>
      <c r="Z22" s="1038">
        <v>1059</v>
      </c>
      <c r="AA22" s="1039">
        <v>1617</v>
      </c>
      <c r="AB22" s="1038"/>
      <c r="AC22" s="1042"/>
      <c r="AD22" s="1043">
        <v>6798</v>
      </c>
      <c r="AE22" s="1042">
        <v>8230</v>
      </c>
      <c r="AF22" s="1043">
        <v>56230</v>
      </c>
      <c r="AG22" s="1042">
        <f>AG13</f>
        <v>82359</v>
      </c>
      <c r="AH22" s="1043">
        <f>AH9</f>
        <v>9835</v>
      </c>
      <c r="AI22" s="1042">
        <f>AI9</f>
        <v>18324</v>
      </c>
      <c r="AJ22" s="1043">
        <f>AJ9</f>
        <v>6686</v>
      </c>
      <c r="AK22" s="1042">
        <f>AK19</f>
        <v>8867</v>
      </c>
      <c r="AL22" s="1043"/>
      <c r="AM22" s="1044"/>
      <c r="AN22" s="1045">
        <f>AN13</f>
        <v>33449</v>
      </c>
      <c r="AO22" s="1042">
        <f>AO13</f>
        <v>38171</v>
      </c>
      <c r="AP22" s="1043">
        <f>AP9</f>
        <v>6732.62</v>
      </c>
      <c r="AQ22" s="1042">
        <f>AQ9</f>
        <v>9890.1</v>
      </c>
      <c r="AR22" s="1043">
        <f>AR9</f>
        <v>1365</v>
      </c>
      <c r="AS22" s="1039">
        <f>AS19</f>
        <v>1903</v>
      </c>
      <c r="AT22" s="1038">
        <f>AT9</f>
        <v>48912</v>
      </c>
      <c r="AU22" s="1042">
        <f>AU9</f>
        <v>51909</v>
      </c>
      <c r="AV22" s="1038">
        <f>SUM(B22+D22+F22+H22+J22+L22+N22+P22+R22+T22+V22+X22+Z22+AB22+AD22+AF22+AH22+AJ22+AL22+AN22+AP22+AR22+AT22)</f>
        <v>438691.62</v>
      </c>
      <c r="AW22" s="1051">
        <f>SUM(C22+E22+G22+I22+K22+M22+O22+Q22+S22+U22+W22+Y22+AA22+AC22+AE22+AG22+AI22+AK22+AM22+AO22+AQ22+AS22+AU22)</f>
        <v>572756.1</v>
      </c>
      <c r="AX22" s="1038">
        <v>10795925</v>
      </c>
      <c r="AY22" s="1039">
        <f>AY13</f>
        <v>11153721.479999999</v>
      </c>
      <c r="AZ22" s="1038">
        <f>AV22+AX22</f>
        <v>11234616.619999999</v>
      </c>
      <c r="BA22" s="1052">
        <f>AW22+AY22</f>
        <v>11726477.579999998</v>
      </c>
    </row>
    <row r="23" spans="1:53" ht="14.25" x14ac:dyDescent="0.3">
      <c r="A23" s="408" t="s">
        <v>346</v>
      </c>
      <c r="B23" s="1049"/>
      <c r="C23" s="1032"/>
      <c r="D23" s="577"/>
      <c r="E23" s="1032"/>
      <c r="F23" s="577"/>
      <c r="G23" s="1032"/>
      <c r="H23" s="577"/>
      <c r="I23" s="1032"/>
      <c r="J23" s="577"/>
      <c r="K23" s="1032"/>
      <c r="L23" s="577"/>
      <c r="M23" s="1032"/>
      <c r="N23" s="577"/>
      <c r="O23" s="1032"/>
      <c r="P23" s="577"/>
      <c r="Q23" s="1032"/>
      <c r="R23" s="577"/>
      <c r="S23" s="1032"/>
      <c r="T23" s="577"/>
      <c r="U23" s="1032"/>
      <c r="V23" s="577"/>
      <c r="W23" s="1032"/>
      <c r="X23" s="577"/>
      <c r="Y23" s="1032"/>
      <c r="Z23" s="577"/>
      <c r="AA23" s="1032"/>
      <c r="AB23" s="577"/>
      <c r="AC23" s="89"/>
      <c r="AD23" s="1033"/>
      <c r="AE23" s="89"/>
      <c r="AF23" s="1033"/>
      <c r="AG23" s="89"/>
      <c r="AH23" s="1033"/>
      <c r="AI23" s="89"/>
      <c r="AJ23" s="1033"/>
      <c r="AK23" s="89"/>
      <c r="AL23" s="1033"/>
      <c r="AM23" s="1034"/>
      <c r="AN23" s="1035"/>
      <c r="AO23" s="89"/>
      <c r="AP23" s="1033"/>
      <c r="AQ23" s="89"/>
      <c r="AR23" s="1033"/>
      <c r="AS23" s="1032"/>
      <c r="AT23" s="577"/>
      <c r="AU23" s="89"/>
      <c r="AV23" s="577"/>
      <c r="AW23" s="89"/>
      <c r="AX23" s="577"/>
      <c r="AY23" s="1032"/>
      <c r="AZ23" s="577"/>
      <c r="BA23" s="97"/>
    </row>
    <row r="24" spans="1:53" x14ac:dyDescent="0.25">
      <c r="A24" s="350" t="s">
        <v>347</v>
      </c>
      <c r="B24" s="704"/>
      <c r="C24" s="1032"/>
      <c r="D24" s="577"/>
      <c r="E24" s="1032"/>
      <c r="F24" s="577"/>
      <c r="G24" s="1032"/>
      <c r="H24" s="577"/>
      <c r="I24" s="1032"/>
      <c r="J24" s="577"/>
      <c r="K24" s="1032"/>
      <c r="L24" s="577"/>
      <c r="M24" s="1032"/>
      <c r="N24" s="577"/>
      <c r="O24" s="1032"/>
      <c r="P24" s="577"/>
      <c r="Q24" s="1032"/>
      <c r="R24" s="577"/>
      <c r="S24" s="1032"/>
      <c r="T24" s="577"/>
      <c r="U24" s="1032"/>
      <c r="V24" s="577"/>
      <c r="W24" s="1032"/>
      <c r="X24" s="577"/>
      <c r="Y24" s="1032"/>
      <c r="Z24" s="577"/>
      <c r="AA24" s="1032"/>
      <c r="AB24" s="577"/>
      <c r="AC24" s="89"/>
      <c r="AD24" s="1033"/>
      <c r="AE24" s="89"/>
      <c r="AF24" s="1033"/>
      <c r="AG24" s="89"/>
      <c r="AH24" s="1033"/>
      <c r="AI24" s="89"/>
      <c r="AJ24" s="1033"/>
      <c r="AK24" s="89"/>
      <c r="AL24" s="1033"/>
      <c r="AM24" s="1034"/>
      <c r="AN24" s="1035"/>
      <c r="AO24" s="89"/>
      <c r="AP24" s="1033"/>
      <c r="AQ24" s="89"/>
      <c r="AR24" s="1033"/>
      <c r="AS24" s="1032"/>
      <c r="AT24" s="577"/>
      <c r="AU24" s="89"/>
      <c r="AV24" s="577"/>
      <c r="AW24" s="89"/>
      <c r="AX24" s="577"/>
      <c r="AY24" s="1032"/>
      <c r="AZ24" s="577"/>
      <c r="BA24" s="97"/>
    </row>
    <row r="25" spans="1:53" x14ac:dyDescent="0.25">
      <c r="A25" s="350" t="s">
        <v>348</v>
      </c>
      <c r="B25" s="704">
        <f>B9</f>
        <v>23677</v>
      </c>
      <c r="C25" s="1032">
        <f>C9</f>
        <v>31972</v>
      </c>
      <c r="D25" s="577">
        <f>D13</f>
        <v>7125</v>
      </c>
      <c r="E25" s="1037">
        <f>E13</f>
        <v>7527</v>
      </c>
      <c r="F25" s="702"/>
      <c r="G25" s="1032"/>
      <c r="H25" s="577">
        <v>48460</v>
      </c>
      <c r="I25" s="1032">
        <f>I22</f>
        <v>54016</v>
      </c>
      <c r="J25" s="577">
        <f>J9</f>
        <v>2635</v>
      </c>
      <c r="K25" s="1032">
        <f>K9</f>
        <v>3374</v>
      </c>
      <c r="L25" s="577">
        <f>L9</f>
        <v>424</v>
      </c>
      <c r="M25" s="1032">
        <f>1003</f>
        <v>1003</v>
      </c>
      <c r="N25" s="577">
        <f>N9</f>
        <v>6895</v>
      </c>
      <c r="O25" s="1032">
        <v>9837</v>
      </c>
      <c r="P25" s="577">
        <v>1598</v>
      </c>
      <c r="Q25" s="1032">
        <v>2330</v>
      </c>
      <c r="R25" s="577">
        <v>54684</v>
      </c>
      <c r="S25" s="1032">
        <v>64949</v>
      </c>
      <c r="T25" s="577">
        <v>2917</v>
      </c>
      <c r="U25" s="1032">
        <v>5504</v>
      </c>
      <c r="V25" s="577"/>
      <c r="W25" s="1032"/>
      <c r="X25" s="577">
        <f>X13</f>
        <v>71375</v>
      </c>
      <c r="Y25" s="1032">
        <f>Y13</f>
        <v>100629</v>
      </c>
      <c r="Z25" s="577">
        <v>1059</v>
      </c>
      <c r="AA25" s="1032">
        <v>1617</v>
      </c>
      <c r="AB25" s="577">
        <f>AB19</f>
        <v>1619.29</v>
      </c>
      <c r="AC25" s="89">
        <f>AC19</f>
        <v>2536.08</v>
      </c>
      <c r="AD25" s="1033">
        <v>6798</v>
      </c>
      <c r="AE25" s="89">
        <v>8230</v>
      </c>
      <c r="AF25" s="1033">
        <v>56230</v>
      </c>
      <c r="AG25" s="89">
        <v>82359</v>
      </c>
      <c r="AH25" s="1033">
        <f>AH9</f>
        <v>9835</v>
      </c>
      <c r="AI25" s="89">
        <f>AI9</f>
        <v>18324</v>
      </c>
      <c r="AJ25" s="1033">
        <f>AJ9</f>
        <v>6686</v>
      </c>
      <c r="AK25" s="89">
        <f>AK22</f>
        <v>8867</v>
      </c>
      <c r="AL25" s="1033"/>
      <c r="AM25" s="1034"/>
      <c r="AN25" s="1035">
        <f>AN22</f>
        <v>33449</v>
      </c>
      <c r="AO25" s="89">
        <f>AO22</f>
        <v>38171</v>
      </c>
      <c r="AP25" s="1033">
        <f>AP9</f>
        <v>6732.62</v>
      </c>
      <c r="AQ25" s="89">
        <f>AQ9</f>
        <v>9890.1</v>
      </c>
      <c r="AR25" s="1033">
        <f>AR9</f>
        <v>1365</v>
      </c>
      <c r="AS25" s="1032">
        <f>AS22</f>
        <v>1903</v>
      </c>
      <c r="AT25" s="577">
        <f>AT9</f>
        <v>48912</v>
      </c>
      <c r="AU25" s="89">
        <f>AU9</f>
        <v>51909</v>
      </c>
      <c r="AV25" s="577">
        <f>SUM(B25+D25+F25+H25+J25+L25+N25+P25+R25+T25+V25+X25+Z25+AB25+AD25+AF25+AH25+AJ25+AL25+AN25+AP25+AR25+AT25)</f>
        <v>392475.91000000003</v>
      </c>
      <c r="AW25" s="1050">
        <f>SUM(C25+E25+G25+I25+K25+M25+O25+Q25+S25+U25+W25+Y25+AA25+AC25+AE25+AG25+AI25+AK25+AM25+AO25+AQ25+AS25+AU25)</f>
        <v>504947.18</v>
      </c>
      <c r="AX25" s="577">
        <v>10829883</v>
      </c>
      <c r="AY25" s="1032">
        <v>11227064</v>
      </c>
      <c r="AZ25" s="577">
        <f t="shared" ref="AZ25:BA27" si="2">AV25+AX25</f>
        <v>11222358.91</v>
      </c>
      <c r="BA25" s="97">
        <f t="shared" si="2"/>
        <v>11732011.18</v>
      </c>
    </row>
    <row r="26" spans="1:53" x14ac:dyDescent="0.25">
      <c r="A26" s="350" t="s">
        <v>349</v>
      </c>
      <c r="B26" s="704"/>
      <c r="C26" s="1032"/>
      <c r="D26" s="577"/>
      <c r="E26" s="1032"/>
      <c r="F26" s="577"/>
      <c r="G26" s="1032"/>
      <c r="H26" s="577"/>
      <c r="I26" s="1032"/>
      <c r="J26" s="577"/>
      <c r="K26" s="1032"/>
      <c r="L26" s="577"/>
      <c r="M26" s="1032"/>
      <c r="N26" s="577"/>
      <c r="O26" s="1032"/>
      <c r="P26" s="577"/>
      <c r="Q26" s="1032"/>
      <c r="R26" s="577"/>
      <c r="S26" s="1032"/>
      <c r="T26" s="577"/>
      <c r="U26" s="1032"/>
      <c r="V26" s="577"/>
      <c r="W26" s="1032"/>
      <c r="X26" s="577"/>
      <c r="Y26" s="1032"/>
      <c r="Z26" s="577"/>
      <c r="AA26" s="1032"/>
      <c r="AB26" s="577"/>
      <c r="AC26" s="89"/>
      <c r="AD26" s="1033"/>
      <c r="AE26" s="89"/>
      <c r="AF26" s="1033"/>
      <c r="AG26" s="89"/>
      <c r="AH26" s="1033"/>
      <c r="AI26" s="89"/>
      <c r="AJ26" s="1033"/>
      <c r="AK26" s="89"/>
      <c r="AL26" s="1033"/>
      <c r="AM26" s="1034"/>
      <c r="AN26" s="1035"/>
      <c r="AO26" s="89"/>
      <c r="AP26" s="1033"/>
      <c r="AQ26" s="89"/>
      <c r="AR26" s="1033"/>
      <c r="AS26" s="1032"/>
      <c r="AT26" s="577"/>
      <c r="AU26" s="89"/>
      <c r="AV26" s="577"/>
      <c r="AW26" s="89"/>
      <c r="AX26" s="577">
        <v>15815</v>
      </c>
      <c r="AY26" s="1032">
        <v>15926</v>
      </c>
      <c r="AZ26" s="577">
        <f t="shared" si="2"/>
        <v>15815</v>
      </c>
      <c r="BA26" s="97">
        <f t="shared" si="2"/>
        <v>15926</v>
      </c>
    </row>
    <row r="27" spans="1:53" ht="13.5" x14ac:dyDescent="0.3">
      <c r="A27" s="1030" t="s">
        <v>350</v>
      </c>
      <c r="B27" s="1031"/>
      <c r="C27" s="1032"/>
      <c r="D27" s="577"/>
      <c r="E27" s="1032"/>
      <c r="F27" s="577"/>
      <c r="G27" s="1032"/>
      <c r="H27" s="577"/>
      <c r="I27" s="1032"/>
      <c r="J27" s="577"/>
      <c r="K27" s="1032"/>
      <c r="L27" s="577"/>
      <c r="M27" s="1032"/>
      <c r="N27" s="577"/>
      <c r="O27" s="1032"/>
      <c r="P27" s="577"/>
      <c r="Q27" s="1032"/>
      <c r="R27" s="577"/>
      <c r="S27" s="1032"/>
      <c r="T27" s="577"/>
      <c r="U27" s="1032"/>
      <c r="V27" s="577"/>
      <c r="W27" s="1032"/>
      <c r="X27" s="577"/>
      <c r="Y27" s="1032"/>
      <c r="Z27" s="577"/>
      <c r="AA27" s="1032"/>
      <c r="AB27" s="577"/>
      <c r="AC27" s="89"/>
      <c r="AD27" s="1033"/>
      <c r="AE27" s="89"/>
      <c r="AF27" s="1033"/>
      <c r="AG27" s="89"/>
      <c r="AH27" s="1033"/>
      <c r="AI27" s="89"/>
      <c r="AJ27" s="1033"/>
      <c r="AK27" s="89"/>
      <c r="AL27" s="1033"/>
      <c r="AM27" s="1034"/>
      <c r="AN27" s="1035"/>
      <c r="AO27" s="89"/>
      <c r="AP27" s="1033"/>
      <c r="AQ27" s="89"/>
      <c r="AR27" s="1033"/>
      <c r="AS27" s="1032"/>
      <c r="AT27" s="577"/>
      <c r="AU27" s="89"/>
      <c r="AV27" s="577"/>
      <c r="AW27" s="89"/>
      <c r="AX27" s="577">
        <v>-53297</v>
      </c>
      <c r="AY27" s="1032">
        <v>-59935</v>
      </c>
      <c r="AZ27" s="577">
        <f t="shared" si="2"/>
        <v>-53297</v>
      </c>
      <c r="BA27" s="97">
        <f t="shared" si="2"/>
        <v>-59935</v>
      </c>
    </row>
    <row r="28" spans="1:53" x14ac:dyDescent="0.25">
      <c r="A28" s="350" t="s">
        <v>351</v>
      </c>
      <c r="B28" s="704"/>
      <c r="C28" s="1032"/>
      <c r="D28" s="577"/>
      <c r="E28" s="1032"/>
      <c r="F28" s="577"/>
      <c r="G28" s="1032"/>
      <c r="H28" s="577"/>
      <c r="I28" s="1032"/>
      <c r="J28" s="577"/>
      <c r="K28" s="1032"/>
      <c r="L28" s="577"/>
      <c r="M28" s="1032"/>
      <c r="N28" s="577"/>
      <c r="O28" s="1032"/>
      <c r="P28" s="577"/>
      <c r="Q28" s="1032"/>
      <c r="R28" s="577"/>
      <c r="S28" s="1032"/>
      <c r="T28" s="577"/>
      <c r="U28" s="1032"/>
      <c r="V28" s="577"/>
      <c r="W28" s="1032"/>
      <c r="X28" s="577"/>
      <c r="Y28" s="1032"/>
      <c r="Z28" s="577"/>
      <c r="AA28" s="1032"/>
      <c r="AB28" s="577"/>
      <c r="AC28" s="89"/>
      <c r="AD28" s="1033"/>
      <c r="AE28" s="89"/>
      <c r="AF28" s="1033"/>
      <c r="AG28" s="89"/>
      <c r="AH28" s="1033"/>
      <c r="AI28" s="89"/>
      <c r="AJ28" s="1033"/>
      <c r="AK28" s="89"/>
      <c r="AL28" s="1033"/>
      <c r="AM28" s="1034"/>
      <c r="AN28" s="1035"/>
      <c r="AO28" s="89"/>
      <c r="AP28" s="1033"/>
      <c r="AQ28" s="89"/>
      <c r="AR28" s="1033"/>
      <c r="AS28" s="1032"/>
      <c r="AT28" s="577"/>
      <c r="AU28" s="89"/>
      <c r="AV28" s="577"/>
      <c r="AW28" s="89"/>
      <c r="AX28" s="577"/>
      <c r="AY28" s="1032"/>
      <c r="AZ28" s="577"/>
      <c r="BA28" s="97"/>
    </row>
    <row r="29" spans="1:53" x14ac:dyDescent="0.25">
      <c r="A29" s="350" t="s">
        <v>348</v>
      </c>
      <c r="B29" s="704"/>
      <c r="C29" s="1032"/>
      <c r="D29" s="577"/>
      <c r="E29" s="1032"/>
      <c r="F29" s="577"/>
      <c r="G29" s="1032"/>
      <c r="H29" s="577"/>
      <c r="I29" s="1032"/>
      <c r="J29" s="577"/>
      <c r="K29" s="1032"/>
      <c r="L29" s="577"/>
      <c r="M29" s="1032"/>
      <c r="N29" s="577"/>
      <c r="O29" s="1032"/>
      <c r="P29" s="577"/>
      <c r="Q29" s="1032"/>
      <c r="R29" s="577"/>
      <c r="S29" s="1032"/>
      <c r="T29" s="577"/>
      <c r="U29" s="1032"/>
      <c r="V29" s="577"/>
      <c r="W29" s="1032"/>
      <c r="X29" s="577"/>
      <c r="Y29" s="1032"/>
      <c r="Z29" s="577"/>
      <c r="AA29" s="1032"/>
      <c r="AB29" s="577"/>
      <c r="AC29" s="89"/>
      <c r="AD29" s="1033"/>
      <c r="AE29" s="89"/>
      <c r="AF29" s="1033"/>
      <c r="AG29" s="89"/>
      <c r="AH29" s="1033"/>
      <c r="AI29" s="89"/>
      <c r="AJ29" s="1033"/>
      <c r="AK29" s="89"/>
      <c r="AL29" s="1033"/>
      <c r="AM29" s="1034"/>
      <c r="AN29" s="1035"/>
      <c r="AO29" s="89"/>
      <c r="AP29" s="1033"/>
      <c r="AQ29" s="89"/>
      <c r="AR29" s="1033"/>
      <c r="AS29" s="1032"/>
      <c r="AT29" s="577"/>
      <c r="AU29" s="89"/>
      <c r="AV29" s="577"/>
      <c r="AW29" s="89"/>
      <c r="AX29" s="577">
        <v>1195836</v>
      </c>
      <c r="AY29" s="1032">
        <v>1047142</v>
      </c>
      <c r="AZ29" s="577">
        <f t="shared" ref="AZ29:BA32" si="3">AV29+AX29</f>
        <v>1195836</v>
      </c>
      <c r="BA29" s="97">
        <f t="shared" si="3"/>
        <v>1047142</v>
      </c>
    </row>
    <row r="30" spans="1:53" x14ac:dyDescent="0.25">
      <c r="A30" s="350" t="s">
        <v>352</v>
      </c>
      <c r="B30" s="704"/>
      <c r="C30" s="1032"/>
      <c r="D30" s="577"/>
      <c r="E30" s="1032"/>
      <c r="F30" s="577"/>
      <c r="G30" s="1032"/>
      <c r="H30" s="577"/>
      <c r="I30" s="1032"/>
      <c r="J30" s="577"/>
      <c r="K30" s="1032"/>
      <c r="L30" s="577"/>
      <c r="M30" s="1032"/>
      <c r="N30" s="577"/>
      <c r="O30" s="1032"/>
      <c r="P30" s="577"/>
      <c r="Q30" s="1032"/>
      <c r="R30" s="577"/>
      <c r="S30" s="1032"/>
      <c r="T30" s="577"/>
      <c r="U30" s="1032"/>
      <c r="V30" s="577"/>
      <c r="W30" s="1032"/>
      <c r="X30" s="577"/>
      <c r="Y30" s="1032"/>
      <c r="Z30" s="577"/>
      <c r="AA30" s="1032"/>
      <c r="AB30" s="577"/>
      <c r="AC30" s="89"/>
      <c r="AD30" s="1033"/>
      <c r="AE30" s="89"/>
      <c r="AF30" s="1033"/>
      <c r="AG30" s="89"/>
      <c r="AH30" s="1033"/>
      <c r="AI30" s="89"/>
      <c r="AJ30" s="1033"/>
      <c r="AK30" s="89"/>
      <c r="AL30" s="1033"/>
      <c r="AM30" s="1034"/>
      <c r="AN30" s="1035"/>
      <c r="AO30" s="89"/>
      <c r="AP30" s="1033"/>
      <c r="AQ30" s="89"/>
      <c r="AR30" s="1033"/>
      <c r="AS30" s="1032"/>
      <c r="AT30" s="577"/>
      <c r="AU30" s="89"/>
      <c r="AV30" s="577"/>
      <c r="AW30" s="89"/>
      <c r="AX30" s="577">
        <v>1000.93</v>
      </c>
      <c r="AY30" s="1032">
        <v>936</v>
      </c>
      <c r="AZ30" s="577">
        <f t="shared" si="3"/>
        <v>1000.93</v>
      </c>
      <c r="BA30" s="97">
        <f t="shared" si="3"/>
        <v>936</v>
      </c>
    </row>
    <row r="31" spans="1:53" ht="13.5" x14ac:dyDescent="0.3">
      <c r="A31" s="1030" t="s">
        <v>353</v>
      </c>
      <c r="B31" s="1031"/>
      <c r="C31" s="1032"/>
      <c r="D31" s="577"/>
      <c r="E31" s="1032"/>
      <c r="F31" s="577"/>
      <c r="G31" s="1032"/>
      <c r="H31" s="577"/>
      <c r="I31" s="1032"/>
      <c r="J31" s="577"/>
      <c r="K31" s="1032"/>
      <c r="L31" s="577"/>
      <c r="M31" s="1032"/>
      <c r="N31" s="577"/>
      <c r="O31" s="1032"/>
      <c r="P31" s="577"/>
      <c r="Q31" s="1032"/>
      <c r="R31" s="577"/>
      <c r="S31" s="1032"/>
      <c r="T31" s="577"/>
      <c r="U31" s="1032"/>
      <c r="V31" s="577"/>
      <c r="W31" s="1032"/>
      <c r="X31" s="577"/>
      <c r="Y31" s="1032"/>
      <c r="Z31" s="577"/>
      <c r="AA31" s="1032"/>
      <c r="AB31" s="577"/>
      <c r="AC31" s="89"/>
      <c r="AD31" s="1033"/>
      <c r="AE31" s="89"/>
      <c r="AF31" s="1033"/>
      <c r="AG31" s="89"/>
      <c r="AH31" s="1033"/>
      <c r="AI31" s="89"/>
      <c r="AJ31" s="1033"/>
      <c r="AK31" s="89"/>
      <c r="AL31" s="1033"/>
      <c r="AM31" s="1034"/>
      <c r="AN31" s="1035"/>
      <c r="AO31" s="89"/>
      <c r="AP31" s="1033"/>
      <c r="AQ31" s="89"/>
      <c r="AR31" s="1033"/>
      <c r="AS31" s="1032"/>
      <c r="AT31" s="577"/>
      <c r="AU31" s="89"/>
      <c r="AV31" s="577"/>
      <c r="AW31" s="89"/>
      <c r="AX31" s="577">
        <v>-1193313</v>
      </c>
      <c r="AY31" s="1032">
        <v>-1047411</v>
      </c>
      <c r="AZ31" s="577">
        <f t="shared" si="3"/>
        <v>-1193313</v>
      </c>
      <c r="BA31" s="97">
        <f t="shared" si="3"/>
        <v>-1047411</v>
      </c>
    </row>
    <row r="32" spans="1:53" s="1062" customFormat="1" ht="14.25" x14ac:dyDescent="0.3">
      <c r="A32" s="408" t="s">
        <v>54</v>
      </c>
      <c r="B32" s="1049">
        <f>B9</f>
        <v>23677</v>
      </c>
      <c r="C32" s="1053">
        <f>C25</f>
        <v>31972</v>
      </c>
      <c r="D32" s="1054">
        <f>D13</f>
        <v>7125</v>
      </c>
      <c r="E32" s="1055">
        <f>E13</f>
        <v>7527</v>
      </c>
      <c r="F32" s="1056"/>
      <c r="G32" s="1053"/>
      <c r="H32" s="1054">
        <f>H22</f>
        <v>48460</v>
      </c>
      <c r="I32" s="1053">
        <f>I25</f>
        <v>54016</v>
      </c>
      <c r="J32" s="1054">
        <f>J9</f>
        <v>2635</v>
      </c>
      <c r="K32" s="1053">
        <f>K9</f>
        <v>3374</v>
      </c>
      <c r="L32" s="1054">
        <f>L22</f>
        <v>424</v>
      </c>
      <c r="M32" s="1053">
        <v>1003</v>
      </c>
      <c r="N32" s="1054">
        <f>N9</f>
        <v>6895</v>
      </c>
      <c r="O32" s="1053">
        <f>O25</f>
        <v>9837</v>
      </c>
      <c r="P32" s="1054"/>
      <c r="Q32" s="1053"/>
      <c r="R32" s="1054">
        <v>54684</v>
      </c>
      <c r="S32" s="1053">
        <v>64949</v>
      </c>
      <c r="T32" s="1054">
        <v>2917</v>
      </c>
      <c r="U32" s="1053">
        <v>5504</v>
      </c>
      <c r="V32" s="1054">
        <f>V22</f>
        <v>47835</v>
      </c>
      <c r="W32" s="1053">
        <f>W22</f>
        <v>70345</v>
      </c>
      <c r="X32" s="1054">
        <f>X22</f>
        <v>71375</v>
      </c>
      <c r="Y32" s="1053">
        <f>Y22</f>
        <v>100629</v>
      </c>
      <c r="Z32" s="1054">
        <v>1059</v>
      </c>
      <c r="AA32" s="1053">
        <v>1617</v>
      </c>
      <c r="AB32" s="1054">
        <f>AB25</f>
        <v>1619.29</v>
      </c>
      <c r="AC32" s="1057">
        <f>AC25</f>
        <v>2536.08</v>
      </c>
      <c r="AD32" s="1058">
        <v>6798</v>
      </c>
      <c r="AE32" s="1057">
        <v>8230</v>
      </c>
      <c r="AF32" s="1058">
        <f>AF25</f>
        <v>56230</v>
      </c>
      <c r="AG32" s="1057">
        <f>AG25</f>
        <v>82359</v>
      </c>
      <c r="AH32" s="1058">
        <f>AH19</f>
        <v>9835</v>
      </c>
      <c r="AI32" s="1057">
        <f>AI22</f>
        <v>18324</v>
      </c>
      <c r="AJ32" s="1058">
        <f>AJ9</f>
        <v>6686</v>
      </c>
      <c r="AK32" s="1057">
        <f>AK25</f>
        <v>8867</v>
      </c>
      <c r="AL32" s="1058"/>
      <c r="AM32" s="1059"/>
      <c r="AN32" s="1060">
        <f>AN22</f>
        <v>33449</v>
      </c>
      <c r="AO32" s="1057">
        <f>AO22</f>
        <v>38171</v>
      </c>
      <c r="AP32" s="1058">
        <f>AP25</f>
        <v>6732.62</v>
      </c>
      <c r="AQ32" s="1057">
        <f>AQ9</f>
        <v>9890.1</v>
      </c>
      <c r="AR32" s="1058">
        <f>AR9</f>
        <v>1365</v>
      </c>
      <c r="AS32" s="1053">
        <f>AS25</f>
        <v>1903</v>
      </c>
      <c r="AT32" s="1054">
        <f>AT9</f>
        <v>48912</v>
      </c>
      <c r="AU32" s="1057">
        <f>AU9</f>
        <v>51909</v>
      </c>
      <c r="AV32" s="1054">
        <f>SUM(B32+D32+F32+H32+J32+L32+N32+P32+R32+T32+V32+X32+Z32+AB32+AD32+AF32+AH32+AJ32+AL32+AN32+AP32+AR32+AT32)</f>
        <v>438712.91</v>
      </c>
      <c r="AW32" s="1061">
        <f>SUM(C32+E32+G32+I32+K32+M32+O32+Q32+S32+U32+W32+Y32+AA32+AC32+AE32+AG32+AI32+AK32+AM32+AO32+AQ32+AS32+AU32)</f>
        <v>572962.17999999993</v>
      </c>
      <c r="AX32" s="1054">
        <f>AX22</f>
        <v>10795925</v>
      </c>
      <c r="AY32" s="1053">
        <f>AY22</f>
        <v>11153721.479999999</v>
      </c>
      <c r="AZ32" s="1054">
        <f t="shared" si="3"/>
        <v>11234637.91</v>
      </c>
      <c r="BA32" s="118">
        <f t="shared" si="3"/>
        <v>11726683.659999998</v>
      </c>
    </row>
    <row r="33" spans="1:53" ht="14.25" x14ac:dyDescent="0.3">
      <c r="A33" s="408" t="s">
        <v>354</v>
      </c>
      <c r="B33" s="1049"/>
      <c r="C33" s="1032"/>
      <c r="D33" s="577"/>
      <c r="E33" s="1032"/>
      <c r="F33" s="577"/>
      <c r="G33" s="1032"/>
      <c r="H33" s="577"/>
      <c r="I33" s="1032"/>
      <c r="J33" s="577"/>
      <c r="K33" s="1032"/>
      <c r="L33" s="577"/>
      <c r="M33" s="1032"/>
      <c r="N33" s="577"/>
      <c r="O33" s="1032"/>
      <c r="P33" s="577"/>
      <c r="Q33" s="1032"/>
      <c r="R33" s="577"/>
      <c r="S33" s="1032"/>
      <c r="T33" s="577"/>
      <c r="U33" s="1032"/>
      <c r="V33" s="577"/>
      <c r="W33" s="1032"/>
      <c r="X33" s="577"/>
      <c r="Y33" s="1032"/>
      <c r="Z33" s="577"/>
      <c r="AA33" s="1032"/>
      <c r="AB33" s="577"/>
      <c r="AC33" s="89"/>
      <c r="AD33" s="1033"/>
      <c r="AE33" s="89"/>
      <c r="AF33" s="1033"/>
      <c r="AG33" s="89"/>
      <c r="AH33" s="1033"/>
      <c r="AI33" s="89"/>
      <c r="AJ33" s="1033"/>
      <c r="AK33" s="89"/>
      <c r="AL33" s="1033"/>
      <c r="AM33" s="1034"/>
      <c r="AN33" s="1035"/>
      <c r="AO33" s="89"/>
      <c r="AP33" s="1033"/>
      <c r="AQ33" s="89"/>
      <c r="AR33" s="1033"/>
      <c r="AS33" s="1032"/>
      <c r="AT33" s="577"/>
      <c r="AU33" s="89"/>
      <c r="AV33" s="577"/>
      <c r="AW33" s="89"/>
      <c r="AX33" s="577"/>
      <c r="AY33" s="1032"/>
      <c r="AZ33" s="577"/>
      <c r="BA33" s="97"/>
    </row>
    <row r="34" spans="1:53" x14ac:dyDescent="0.25">
      <c r="A34" s="350" t="s">
        <v>355</v>
      </c>
      <c r="B34" s="704">
        <v>417</v>
      </c>
      <c r="C34" s="1032">
        <v>329</v>
      </c>
      <c r="D34" s="577">
        <v>6</v>
      </c>
      <c r="E34" s="1032"/>
      <c r="F34" s="577"/>
      <c r="G34" s="1032"/>
      <c r="H34" s="577">
        <v>5022</v>
      </c>
      <c r="I34" s="1032">
        <v>5891</v>
      </c>
      <c r="J34" s="577"/>
      <c r="K34" s="1032"/>
      <c r="L34" s="577"/>
      <c r="M34" s="1032"/>
      <c r="N34" s="577">
        <v>228</v>
      </c>
      <c r="O34" s="1032">
        <v>399</v>
      </c>
      <c r="P34" s="577">
        <v>18</v>
      </c>
      <c r="Q34" s="1032">
        <v>65</v>
      </c>
      <c r="R34" s="577">
        <v>3270</v>
      </c>
      <c r="S34" s="1032">
        <v>3380</v>
      </c>
      <c r="T34" s="577">
        <v>2</v>
      </c>
      <c r="U34" s="1032">
        <v>64</v>
      </c>
      <c r="V34" s="577"/>
      <c r="W34" s="1032"/>
      <c r="X34" s="577">
        <v>1102</v>
      </c>
      <c r="Y34" s="1032">
        <v>866</v>
      </c>
      <c r="Z34" s="577"/>
      <c r="AA34" s="1032"/>
      <c r="AB34" s="577">
        <v>73.209999999999994</v>
      </c>
      <c r="AC34" s="89">
        <v>218.49</v>
      </c>
      <c r="AD34" s="1033">
        <v>552</v>
      </c>
      <c r="AE34" s="89">
        <v>639</v>
      </c>
      <c r="AF34" s="1033">
        <v>1540</v>
      </c>
      <c r="AG34" s="89">
        <v>1711</v>
      </c>
      <c r="AH34" s="1033">
        <v>242</v>
      </c>
      <c r="AI34" s="89">
        <v>626</v>
      </c>
      <c r="AJ34" s="1033">
        <v>532</v>
      </c>
      <c r="AK34" s="89">
        <v>417</v>
      </c>
      <c r="AL34" s="1033"/>
      <c r="AM34" s="1034"/>
      <c r="AN34" s="1035">
        <v>1079</v>
      </c>
      <c r="AO34" s="89">
        <v>4669</v>
      </c>
      <c r="AP34" s="1033">
        <v>201</v>
      </c>
      <c r="AQ34" s="89">
        <v>227.35</v>
      </c>
      <c r="AR34" s="1033">
        <v>336</v>
      </c>
      <c r="AS34" s="1032">
        <v>406</v>
      </c>
      <c r="AT34" s="577"/>
      <c r="AU34" s="89"/>
      <c r="AV34" s="577">
        <f>SUM(B34+D34+F34+H34+J34+L34+N34+P34+R34+T34+V34+X34+Z34+AB34+AD34+AF34+AH34+AJ34+AL34+AN34+AP34+AR34+AT34)</f>
        <v>14620.21</v>
      </c>
      <c r="AW34" s="1050">
        <f>SUM(C34+E34+G34+I34+K34+M34+O34+Q34+S34+U34+W34+Y34+AA34+AC34+AE34+AG34+AI34+AK34+AM34+AO34+AQ34+AS34+AU34)</f>
        <v>19907.839999999997</v>
      </c>
      <c r="AX34" s="577">
        <v>1021720</v>
      </c>
      <c r="AY34" s="1032">
        <v>472484</v>
      </c>
      <c r="AZ34" s="577">
        <f>AV34+AX34</f>
        <v>1036340.21</v>
      </c>
      <c r="BA34" s="97">
        <f>AW34+AY34</f>
        <v>492391.83999999997</v>
      </c>
    </row>
    <row r="35" spans="1:53" x14ac:dyDescent="0.25">
      <c r="A35" s="350" t="s">
        <v>356</v>
      </c>
      <c r="B35" s="704"/>
      <c r="C35" s="1032"/>
      <c r="D35" s="577"/>
      <c r="E35" s="1032"/>
      <c r="F35" s="577"/>
      <c r="G35" s="1032"/>
      <c r="H35" s="577"/>
      <c r="I35" s="1032"/>
      <c r="J35" s="577"/>
      <c r="K35" s="1032"/>
      <c r="L35" s="577"/>
      <c r="M35" s="1032"/>
      <c r="N35" s="577"/>
      <c r="O35" s="1032"/>
      <c r="P35" s="577"/>
      <c r="Q35" s="1032"/>
      <c r="R35" s="577"/>
      <c r="S35" s="1032"/>
      <c r="T35" s="577"/>
      <c r="U35" s="1032"/>
      <c r="V35" s="577">
        <v>14476</v>
      </c>
      <c r="W35" s="1032">
        <v>21661</v>
      </c>
      <c r="X35" s="577"/>
      <c r="Y35" s="1032"/>
      <c r="Z35" s="577"/>
      <c r="AA35" s="1032"/>
      <c r="AB35" s="577"/>
      <c r="AC35" s="89"/>
      <c r="AD35" s="1033"/>
      <c r="AE35" s="89"/>
      <c r="AF35" s="1033"/>
      <c r="AG35" s="89"/>
      <c r="AH35" s="1033"/>
      <c r="AI35" s="89"/>
      <c r="AJ35" s="1033"/>
      <c r="AK35" s="89"/>
      <c r="AL35" s="1033"/>
      <c r="AM35" s="1034"/>
      <c r="AN35" s="1035"/>
      <c r="AO35" s="89"/>
      <c r="AP35" s="1033"/>
      <c r="AQ35" s="89"/>
      <c r="AR35" s="1033"/>
      <c r="AS35" s="1032"/>
      <c r="AT35" s="577"/>
      <c r="AU35" s="89"/>
      <c r="AV35" s="577"/>
      <c r="AW35" s="89"/>
      <c r="AX35" s="577"/>
      <c r="AY35" s="1032"/>
      <c r="AZ35" s="577">
        <f>AV35+AX35</f>
        <v>0</v>
      </c>
      <c r="BA35" s="97">
        <f>AW35+AY35</f>
        <v>0</v>
      </c>
    </row>
    <row r="36" spans="1:53" x14ac:dyDescent="0.25">
      <c r="A36" s="350" t="s">
        <v>357</v>
      </c>
      <c r="B36" s="704"/>
      <c r="C36" s="1032"/>
      <c r="D36" s="577"/>
      <c r="E36" s="1032"/>
      <c r="F36" s="577"/>
      <c r="G36" s="1032"/>
      <c r="H36" s="577"/>
      <c r="I36" s="1032"/>
      <c r="J36" s="577"/>
      <c r="K36" s="1032"/>
      <c r="L36" s="577"/>
      <c r="M36" s="1032"/>
      <c r="N36" s="577"/>
      <c r="O36" s="1032"/>
      <c r="P36" s="577"/>
      <c r="Q36" s="1032"/>
      <c r="R36" s="577"/>
      <c r="S36" s="1032"/>
      <c r="T36" s="577"/>
      <c r="U36" s="1032"/>
      <c r="V36" s="577"/>
      <c r="W36" s="1032"/>
      <c r="X36" s="577"/>
      <c r="Y36" s="1032"/>
      <c r="Z36" s="577"/>
      <c r="AA36" s="1032"/>
      <c r="AB36" s="577"/>
      <c r="AC36" s="89"/>
      <c r="AD36" s="1033"/>
      <c r="AE36" s="89"/>
      <c r="AF36" s="1033"/>
      <c r="AG36" s="89"/>
      <c r="AH36" s="1033"/>
      <c r="AI36" s="89"/>
      <c r="AJ36" s="1033"/>
      <c r="AK36" s="89"/>
      <c r="AL36" s="1033"/>
      <c r="AM36" s="1034"/>
      <c r="AN36" s="1035"/>
      <c r="AO36" s="89"/>
      <c r="AP36" s="1033"/>
      <c r="AQ36" s="89"/>
      <c r="AR36" s="1033"/>
      <c r="AS36" s="1032"/>
      <c r="AT36" s="577"/>
      <c r="AU36" s="89"/>
      <c r="AV36" s="577"/>
      <c r="AW36" s="89"/>
      <c r="AX36" s="577"/>
      <c r="AY36" s="1032"/>
      <c r="AZ36" s="577"/>
      <c r="BA36" s="97"/>
    </row>
    <row r="37" spans="1:53" x14ac:dyDescent="0.25">
      <c r="A37" s="581" t="s">
        <v>358</v>
      </c>
      <c r="B37" s="704"/>
      <c r="C37" s="1032"/>
      <c r="D37" s="577"/>
      <c r="E37" s="1032"/>
      <c r="F37" s="577"/>
      <c r="G37" s="1032"/>
      <c r="H37" s="577"/>
      <c r="I37" s="1032"/>
      <c r="J37" s="577"/>
      <c r="K37" s="1032"/>
      <c r="L37" s="577"/>
      <c r="M37" s="1032"/>
      <c r="N37" s="577"/>
      <c r="O37" s="1032"/>
      <c r="P37" s="577"/>
      <c r="Q37" s="1032"/>
      <c r="R37" s="577"/>
      <c r="S37" s="1032"/>
      <c r="T37" s="577"/>
      <c r="U37" s="1032"/>
      <c r="V37" s="577"/>
      <c r="W37" s="1032"/>
      <c r="X37" s="577"/>
      <c r="Y37" s="1032"/>
      <c r="Z37" s="577"/>
      <c r="AA37" s="1032"/>
      <c r="AB37" s="577"/>
      <c r="AC37" s="89"/>
      <c r="AD37" s="1033"/>
      <c r="AE37" s="89"/>
      <c r="AF37" s="1033"/>
      <c r="AG37" s="89"/>
      <c r="AH37" s="1033"/>
      <c r="AI37" s="89"/>
      <c r="AJ37" s="1033"/>
      <c r="AK37" s="89"/>
      <c r="AL37" s="1033"/>
      <c r="AM37" s="1034"/>
      <c r="AN37" s="1035"/>
      <c r="AO37" s="89"/>
      <c r="AP37" s="1033"/>
      <c r="AQ37" s="89"/>
      <c r="AR37" s="1033"/>
      <c r="AS37" s="1032"/>
      <c r="AT37" s="577"/>
      <c r="AU37" s="89"/>
      <c r="AV37" s="577"/>
      <c r="AW37" s="89"/>
      <c r="AX37" s="577">
        <v>-430176</v>
      </c>
      <c r="AY37" s="1032">
        <v>-444740</v>
      </c>
      <c r="AZ37" s="577">
        <f t="shared" ref="AZ37:BA39" si="4">AV37+AX37</f>
        <v>-430176</v>
      </c>
      <c r="BA37" s="97">
        <f t="shared" si="4"/>
        <v>-444740</v>
      </c>
    </row>
    <row r="38" spans="1:53" x14ac:dyDescent="0.25">
      <c r="A38" s="581" t="s">
        <v>359</v>
      </c>
      <c r="B38" s="704">
        <v>23260</v>
      </c>
      <c r="C38" s="1032">
        <v>31643</v>
      </c>
      <c r="D38" s="577">
        <v>7118</v>
      </c>
      <c r="E38" s="1037">
        <f>E13</f>
        <v>7527</v>
      </c>
      <c r="F38" s="702"/>
      <c r="G38" s="1032"/>
      <c r="H38" s="577">
        <v>43438</v>
      </c>
      <c r="I38" s="1032">
        <v>48125</v>
      </c>
      <c r="J38" s="577">
        <v>2635</v>
      </c>
      <c r="K38" s="1032">
        <v>3374</v>
      </c>
      <c r="L38" s="577">
        <v>424</v>
      </c>
      <c r="M38" s="1032">
        <v>1003</v>
      </c>
      <c r="N38" s="577">
        <v>6667</v>
      </c>
      <c r="O38" s="1032">
        <v>9438</v>
      </c>
      <c r="P38" s="577">
        <v>1580</v>
      </c>
      <c r="Q38" s="1032">
        <v>2265</v>
      </c>
      <c r="R38" s="577">
        <v>51414</v>
      </c>
      <c r="S38" s="1032">
        <v>61569</v>
      </c>
      <c r="T38" s="577">
        <v>2915</v>
      </c>
      <c r="U38" s="1032">
        <v>5440</v>
      </c>
      <c r="V38" s="577">
        <v>33359</v>
      </c>
      <c r="W38" s="1032">
        <v>48684</v>
      </c>
      <c r="X38" s="577">
        <v>70273</v>
      </c>
      <c r="Y38" s="1032">
        <v>99736</v>
      </c>
      <c r="Z38" s="577">
        <v>1059</v>
      </c>
      <c r="AA38" s="1032">
        <v>1617</v>
      </c>
      <c r="AB38" s="577">
        <v>1546.08</v>
      </c>
      <c r="AC38" s="89">
        <v>2317.59</v>
      </c>
      <c r="AD38" s="1033">
        <v>6246</v>
      </c>
      <c r="AE38" s="89">
        <v>7591</v>
      </c>
      <c r="AF38" s="1033">
        <v>54690</v>
      </c>
      <c r="AG38" s="89">
        <v>80648</v>
      </c>
      <c r="AH38" s="1033">
        <v>9593</v>
      </c>
      <c r="AI38" s="89">
        <v>17699</v>
      </c>
      <c r="AJ38" s="1033">
        <v>6154</v>
      </c>
      <c r="AK38" s="89">
        <v>8450</v>
      </c>
      <c r="AL38" s="1033"/>
      <c r="AM38" s="1034"/>
      <c r="AN38" s="1035">
        <v>32370</v>
      </c>
      <c r="AO38" s="89">
        <v>33503</v>
      </c>
      <c r="AP38" s="1033">
        <v>6531.51</v>
      </c>
      <c r="AQ38" s="89">
        <v>9662.75</v>
      </c>
      <c r="AR38" s="1033">
        <v>1030</v>
      </c>
      <c r="AS38" s="1032">
        <v>1497</v>
      </c>
      <c r="AT38" s="577">
        <f>AT13</f>
        <v>48912</v>
      </c>
      <c r="AU38" s="89">
        <f>AU9</f>
        <v>51909</v>
      </c>
      <c r="AV38" s="577">
        <f>SUM(B38+D38+F38+H38+J38+L38+N38+P38+R38+T38+V38+X38+Z38+AB38+AD38+AF38+AH38+AJ38+AL38+AN38+AP38+AR38+AT38)</f>
        <v>411214.58999999997</v>
      </c>
      <c r="AW38" s="1050">
        <f>SUM(C38+E38+G38+I38+K38+M38+O38+Q38+S38+U38+W38+Y38+AA38+AC38+AE38+AG38+AI38+AK38+AM38+AO38+AQ38+AS38+AU38)</f>
        <v>533698.34000000008</v>
      </c>
      <c r="AX38" s="577">
        <v>11020816</v>
      </c>
      <c r="AY38" s="1032">
        <v>11818585</v>
      </c>
      <c r="AZ38" s="577">
        <f t="shared" si="4"/>
        <v>11432030.59</v>
      </c>
      <c r="BA38" s="97">
        <f t="shared" si="4"/>
        <v>12352283.34</v>
      </c>
    </row>
    <row r="39" spans="1:53" x14ac:dyDescent="0.25">
      <c r="A39" s="350" t="s">
        <v>356</v>
      </c>
      <c r="B39" s="704"/>
      <c r="C39" s="1032"/>
      <c r="D39" s="577"/>
      <c r="E39" s="1037"/>
      <c r="F39" s="702"/>
      <c r="G39" s="1032"/>
      <c r="H39" s="577"/>
      <c r="I39" s="1032"/>
      <c r="J39" s="577"/>
      <c r="K39" s="1032"/>
      <c r="L39" s="577"/>
      <c r="M39" s="1032"/>
      <c r="N39" s="577"/>
      <c r="O39" s="1032"/>
      <c r="P39" s="577"/>
      <c r="Q39" s="1032"/>
      <c r="R39" s="577"/>
      <c r="S39" s="1032"/>
      <c r="T39" s="577"/>
      <c r="U39" s="1032"/>
      <c r="V39" s="577"/>
      <c r="W39" s="1032"/>
      <c r="X39" s="577"/>
      <c r="Y39" s="1032"/>
      <c r="Z39" s="577"/>
      <c r="AA39" s="1032"/>
      <c r="AB39" s="577"/>
      <c r="AC39" s="89"/>
      <c r="AD39" s="1033"/>
      <c r="AE39" s="89"/>
      <c r="AF39" s="1033"/>
      <c r="AG39" s="89"/>
      <c r="AH39" s="1033"/>
      <c r="AI39" s="89"/>
      <c r="AJ39" s="1033"/>
      <c r="AK39" s="89"/>
      <c r="AL39" s="1033"/>
      <c r="AM39" s="1034"/>
      <c r="AN39" s="1035"/>
      <c r="AO39" s="89"/>
      <c r="AP39" s="1033"/>
      <c r="AQ39" s="89"/>
      <c r="AR39" s="1033"/>
      <c r="AS39" s="1032"/>
      <c r="AT39" s="577"/>
      <c r="AU39" s="89"/>
      <c r="AV39" s="577"/>
      <c r="AW39" s="89"/>
      <c r="AX39" s="577"/>
      <c r="AY39" s="1032"/>
      <c r="AZ39" s="577">
        <f t="shared" si="4"/>
        <v>0</v>
      </c>
      <c r="BA39" s="97">
        <f t="shared" si="4"/>
        <v>0</v>
      </c>
    </row>
    <row r="40" spans="1:53" x14ac:dyDescent="0.25">
      <c r="A40" s="350" t="s">
        <v>357</v>
      </c>
      <c r="B40" s="704"/>
      <c r="C40" s="1032"/>
      <c r="D40" s="577"/>
      <c r="E40" s="1037"/>
      <c r="F40" s="702"/>
      <c r="G40" s="1032"/>
      <c r="H40" s="577"/>
      <c r="I40" s="1032"/>
      <c r="J40" s="577"/>
      <c r="K40" s="1032"/>
      <c r="L40" s="577"/>
      <c r="M40" s="1032"/>
      <c r="N40" s="577"/>
      <c r="O40" s="1032"/>
      <c r="P40" s="577"/>
      <c r="Q40" s="1032"/>
      <c r="R40" s="577"/>
      <c r="S40" s="1032"/>
      <c r="T40" s="577"/>
      <c r="U40" s="1032"/>
      <c r="V40" s="577"/>
      <c r="W40" s="1032"/>
      <c r="X40" s="577"/>
      <c r="Y40" s="1032"/>
      <c r="Z40" s="577"/>
      <c r="AA40" s="1032"/>
      <c r="AB40" s="577"/>
      <c r="AC40" s="89"/>
      <c r="AD40" s="1033"/>
      <c r="AE40" s="89"/>
      <c r="AF40" s="1033"/>
      <c r="AG40" s="89"/>
      <c r="AH40" s="1033"/>
      <c r="AI40" s="89"/>
      <c r="AJ40" s="1033"/>
      <c r="AK40" s="89"/>
      <c r="AL40" s="1033"/>
      <c r="AM40" s="1034"/>
      <c r="AN40" s="1035"/>
      <c r="AO40" s="89"/>
      <c r="AP40" s="1033"/>
      <c r="AQ40" s="89"/>
      <c r="AR40" s="1033"/>
      <c r="AS40" s="1032"/>
      <c r="AT40" s="577"/>
      <c r="AU40" s="89"/>
      <c r="AV40" s="577"/>
      <c r="AW40" s="89"/>
      <c r="AX40" s="577"/>
      <c r="AY40" s="1032"/>
      <c r="AZ40" s="577"/>
      <c r="BA40" s="97"/>
    </row>
    <row r="41" spans="1:53" ht="13.5" thickBot="1" x14ac:dyDescent="0.3">
      <c r="A41" s="581" t="s">
        <v>360</v>
      </c>
      <c r="B41" s="1063"/>
      <c r="C41" s="1064"/>
      <c r="D41" s="1065"/>
      <c r="E41" s="1066"/>
      <c r="F41" s="1067"/>
      <c r="G41" s="1064"/>
      <c r="H41" s="1065"/>
      <c r="I41" s="1064"/>
      <c r="J41" s="1065"/>
      <c r="K41" s="1064"/>
      <c r="L41" s="1065"/>
      <c r="M41" s="1064"/>
      <c r="N41" s="1065"/>
      <c r="O41" s="1064"/>
      <c r="P41" s="1065"/>
      <c r="Q41" s="1064"/>
      <c r="R41" s="1065"/>
      <c r="S41" s="1064"/>
      <c r="T41" s="1065"/>
      <c r="U41" s="1064"/>
      <c r="V41" s="1065"/>
      <c r="W41" s="1064"/>
      <c r="X41" s="1065"/>
      <c r="Y41" s="1064"/>
      <c r="Z41" s="1065"/>
      <c r="AA41" s="1064"/>
      <c r="AB41" s="1065"/>
      <c r="AC41" s="1068"/>
      <c r="AD41" s="1069"/>
      <c r="AE41" s="1068"/>
      <c r="AF41" s="1069"/>
      <c r="AG41" s="1068"/>
      <c r="AH41" s="1069"/>
      <c r="AI41" s="1068"/>
      <c r="AJ41" s="1069"/>
      <c r="AK41" s="1068"/>
      <c r="AL41" s="1069"/>
      <c r="AM41" s="1070"/>
      <c r="AN41" s="1071"/>
      <c r="AO41" s="1068"/>
      <c r="AP41" s="1069"/>
      <c r="AQ41" s="1068"/>
      <c r="AR41" s="1069"/>
      <c r="AS41" s="1064"/>
      <c r="AT41" s="1065"/>
      <c r="AU41" s="1068"/>
      <c r="AV41" s="1065"/>
      <c r="AW41" s="1068"/>
      <c r="AX41" s="1065">
        <v>-816435</v>
      </c>
      <c r="AY41" s="1064">
        <v>-662606</v>
      </c>
      <c r="AZ41" s="1065">
        <f>AV41+AX41</f>
        <v>-816435</v>
      </c>
      <c r="BA41" s="134">
        <f>AW41+AY41</f>
        <v>-662606</v>
      </c>
    </row>
    <row r="42" spans="1:53" s="1048" customFormat="1" ht="15" thickBot="1" x14ac:dyDescent="0.35">
      <c r="A42" s="779" t="s">
        <v>54</v>
      </c>
      <c r="B42" s="1072">
        <f>B34+B38</f>
        <v>23677</v>
      </c>
      <c r="C42" s="1073">
        <f>C34+C38</f>
        <v>31972</v>
      </c>
      <c r="D42" s="1072">
        <f>D32</f>
        <v>7125</v>
      </c>
      <c r="E42" s="1073">
        <f>E34+E38</f>
        <v>7527</v>
      </c>
      <c r="F42" s="1072"/>
      <c r="G42" s="1073">
        <f>G34+G38</f>
        <v>0</v>
      </c>
      <c r="H42" s="1072">
        <f>H32</f>
        <v>48460</v>
      </c>
      <c r="I42" s="1073">
        <f>I34+I38</f>
        <v>54016</v>
      </c>
      <c r="J42" s="1072">
        <f>J32</f>
        <v>2635</v>
      </c>
      <c r="K42" s="1073">
        <f>K34+K38</f>
        <v>3374</v>
      </c>
      <c r="L42" s="1072">
        <f>L32</f>
        <v>424</v>
      </c>
      <c r="M42" s="1073">
        <f>M34+M38</f>
        <v>1003</v>
      </c>
      <c r="N42" s="1072">
        <f>N19</f>
        <v>6895</v>
      </c>
      <c r="O42" s="1073">
        <f>O34+O38</f>
        <v>9837</v>
      </c>
      <c r="P42" s="1072">
        <v>1598</v>
      </c>
      <c r="Q42" s="1073">
        <f>Q34+Q38</f>
        <v>2330</v>
      </c>
      <c r="R42" s="1072">
        <v>54684</v>
      </c>
      <c r="S42" s="1073">
        <f>S34+S38</f>
        <v>64949</v>
      </c>
      <c r="T42" s="1072">
        <v>2917</v>
      </c>
      <c r="U42" s="1073">
        <f>U34+U38</f>
        <v>5504</v>
      </c>
      <c r="V42" s="1072">
        <f>V32</f>
        <v>47835</v>
      </c>
      <c r="W42" s="1073">
        <f>W35+W38</f>
        <v>70345</v>
      </c>
      <c r="X42" s="1072">
        <f>X32</f>
        <v>71375</v>
      </c>
      <c r="Y42" s="1073">
        <f>Y34+Y38</f>
        <v>100602</v>
      </c>
      <c r="Z42" s="1072">
        <v>1059</v>
      </c>
      <c r="AA42" s="1073">
        <f>AA34+AA38</f>
        <v>1617</v>
      </c>
      <c r="AB42" s="1072">
        <v>1619.29</v>
      </c>
      <c r="AC42" s="1074">
        <f>AC34+AC38</f>
        <v>2536.08</v>
      </c>
      <c r="AD42" s="1075">
        <f>AD32</f>
        <v>6798</v>
      </c>
      <c r="AE42" s="1074">
        <f>AE34+AE38</f>
        <v>8230</v>
      </c>
      <c r="AF42" s="1075">
        <f>AF32</f>
        <v>56230</v>
      </c>
      <c r="AG42" s="1074">
        <f>AG34+AG38</f>
        <v>82359</v>
      </c>
      <c r="AH42" s="1075">
        <f>AH22</f>
        <v>9835</v>
      </c>
      <c r="AI42" s="1074">
        <f>AI34+AI38</f>
        <v>18325</v>
      </c>
      <c r="AJ42" s="1075">
        <v>6686</v>
      </c>
      <c r="AK42" s="1074">
        <v>8867</v>
      </c>
      <c r="AL42" s="1075"/>
      <c r="AM42" s="1076">
        <f>AM34+AM38</f>
        <v>0</v>
      </c>
      <c r="AN42" s="1077">
        <f>AN32</f>
        <v>33449</v>
      </c>
      <c r="AO42" s="1074">
        <f>AO34+AO38</f>
        <v>38172</v>
      </c>
      <c r="AP42" s="1075">
        <f>AP32</f>
        <v>6732.62</v>
      </c>
      <c r="AQ42" s="1074">
        <f>AQ34+AQ38</f>
        <v>9890.1</v>
      </c>
      <c r="AR42" s="1075">
        <v>1365</v>
      </c>
      <c r="AS42" s="1073">
        <f>AS34+AS38</f>
        <v>1903</v>
      </c>
      <c r="AT42" s="1072">
        <f>AT19</f>
        <v>48912</v>
      </c>
      <c r="AU42" s="1074">
        <f>AU34+AU38</f>
        <v>51909</v>
      </c>
      <c r="AV42" s="1078">
        <f>SUM(B42+D42+F42+H42+J42+L42+N42+P42+R42+T42+V42+X42+Z42+AB42+AD42+AF42+AH42+AJ42+AL42+AN42+AP42+AR42+AT42)</f>
        <v>440310.91</v>
      </c>
      <c r="AW42" s="1079">
        <f>SUM(C42+E42+G42+I42+K42+M42+O42+Q42+S42+U42+W42+Y42+AA42+AC42+AE42+AG42+AI42+AK42+AM42+AO42+AQ42+AS42+AU42)</f>
        <v>575267.17999999993</v>
      </c>
      <c r="AX42" s="1072">
        <f>AX22</f>
        <v>10795925</v>
      </c>
      <c r="AY42" s="1073">
        <f>AY22</f>
        <v>11153721.479999999</v>
      </c>
      <c r="AZ42" s="1072">
        <f>AV42+AX42</f>
        <v>11236235.91</v>
      </c>
      <c r="BA42" s="1080">
        <f>AW42+AY42</f>
        <v>11728988.659999998</v>
      </c>
    </row>
  </sheetData>
  <mergeCells count="26">
    <mergeCell ref="B1:C1"/>
    <mergeCell ref="D1:E1"/>
    <mergeCell ref="F1:G1"/>
    <mergeCell ref="H1:I1"/>
    <mergeCell ref="J1:K1"/>
    <mergeCell ref="X1:Y1"/>
    <mergeCell ref="Z1:AA1"/>
    <mergeCell ref="AB1:AC1"/>
    <mergeCell ref="AD1:AE1"/>
    <mergeCell ref="L1:M1"/>
    <mergeCell ref="N1:O1"/>
    <mergeCell ref="P1:Q1"/>
    <mergeCell ref="R1:S1"/>
    <mergeCell ref="T1:U1"/>
    <mergeCell ref="V1:W1"/>
    <mergeCell ref="AF1:AG1"/>
    <mergeCell ref="AH1:AI1"/>
    <mergeCell ref="AX1:AY1"/>
    <mergeCell ref="AZ1:BA1"/>
    <mergeCell ref="AL1:AM1"/>
    <mergeCell ref="AN1:AO1"/>
    <mergeCell ref="AP1:AQ1"/>
    <mergeCell ref="AR1:AS1"/>
    <mergeCell ref="AT1:AU1"/>
    <mergeCell ref="AV1:AW1"/>
    <mergeCell ref="AJ1:AK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BA29"/>
  <sheetViews>
    <sheetView workbookViewId="0">
      <pane xSplit="1" topLeftCell="B1" activePane="topRight" state="frozen"/>
      <selection pane="topRight"/>
    </sheetView>
  </sheetViews>
  <sheetFormatPr defaultRowHeight="12.75" x14ac:dyDescent="0.25"/>
  <cols>
    <col min="1" max="1" width="68" style="90" bestFit="1" customWidth="1"/>
    <col min="2" max="9" width="10.5703125" style="90" bestFit="1" customWidth="1"/>
    <col min="10" max="10" width="10.5703125" style="90" customWidth="1"/>
    <col min="11" max="24" width="10.5703125" style="90" bestFit="1" customWidth="1"/>
    <col min="25" max="25" width="10.5703125" style="90" customWidth="1"/>
    <col min="26" max="41" width="10.5703125" style="90" bestFit="1" customWidth="1"/>
    <col min="42" max="42" width="10.5703125" style="90" customWidth="1"/>
    <col min="43" max="44" width="10.5703125" style="90" bestFit="1" customWidth="1"/>
    <col min="45" max="45" width="10.5703125" style="90" customWidth="1"/>
    <col min="46" max="49" width="10.5703125" style="90" bestFit="1" customWidth="1"/>
    <col min="50" max="50" width="11.42578125" style="90" bestFit="1" customWidth="1"/>
    <col min="51" max="51" width="10.5703125" style="90" bestFit="1" customWidth="1"/>
    <col min="52" max="52" width="12" style="90" bestFit="1" customWidth="1"/>
    <col min="53" max="53" width="10.5703125" style="90" bestFit="1" customWidth="1"/>
    <col min="54" max="16384" width="9.140625" style="90"/>
  </cols>
  <sheetData>
    <row r="1" spans="1:53" ht="41.25" customHeight="1" thickBot="1" x14ac:dyDescent="0.35">
      <c r="A1" s="1081" t="s">
        <v>361</v>
      </c>
      <c r="B1" s="1365" t="s">
        <v>159</v>
      </c>
      <c r="C1" s="1366"/>
      <c r="D1" s="1333" t="s">
        <v>160</v>
      </c>
      <c r="E1" s="1334"/>
      <c r="F1" s="1333" t="s">
        <v>161</v>
      </c>
      <c r="G1" s="1334"/>
      <c r="H1" s="1333" t="s">
        <v>162</v>
      </c>
      <c r="I1" s="1334"/>
      <c r="J1" s="1333" t="s">
        <v>163</v>
      </c>
      <c r="K1" s="1334"/>
      <c r="L1" s="1333" t="s">
        <v>164</v>
      </c>
      <c r="M1" s="1334"/>
      <c r="N1" s="1333" t="s">
        <v>315</v>
      </c>
      <c r="O1" s="1334"/>
      <c r="P1" s="1333" t="s">
        <v>165</v>
      </c>
      <c r="Q1" s="1334"/>
      <c r="R1" s="1333" t="s">
        <v>166</v>
      </c>
      <c r="S1" s="1334"/>
      <c r="T1" s="1333" t="s">
        <v>167</v>
      </c>
      <c r="U1" s="1334"/>
      <c r="V1" s="1333" t="s">
        <v>168</v>
      </c>
      <c r="W1" s="1334"/>
      <c r="X1" s="1333" t="s">
        <v>169</v>
      </c>
      <c r="Y1" s="1334"/>
      <c r="Z1" s="1333" t="s">
        <v>325</v>
      </c>
      <c r="AA1" s="1334"/>
      <c r="AB1" s="1333" t="s">
        <v>170</v>
      </c>
      <c r="AC1" s="1334"/>
      <c r="AD1" s="1333" t="s">
        <v>171</v>
      </c>
      <c r="AE1" s="1334"/>
      <c r="AF1" s="1333" t="s">
        <v>172</v>
      </c>
      <c r="AG1" s="1334"/>
      <c r="AH1" s="1333" t="s">
        <v>173</v>
      </c>
      <c r="AI1" s="1334"/>
      <c r="AJ1" s="1333" t="s">
        <v>174</v>
      </c>
      <c r="AK1" s="1334"/>
      <c r="AL1" s="1333" t="s">
        <v>175</v>
      </c>
      <c r="AM1" s="1334"/>
      <c r="AN1" s="1333" t="s">
        <v>176</v>
      </c>
      <c r="AO1" s="1334"/>
      <c r="AP1" s="1333" t="s">
        <v>177</v>
      </c>
      <c r="AQ1" s="1334"/>
      <c r="AR1" s="1333" t="s">
        <v>178</v>
      </c>
      <c r="AS1" s="1334"/>
      <c r="AT1" s="1333" t="s">
        <v>179</v>
      </c>
      <c r="AU1" s="1334"/>
      <c r="AV1" s="1363" t="s">
        <v>1</v>
      </c>
      <c r="AW1" s="1364"/>
      <c r="AX1" s="1333" t="s">
        <v>180</v>
      </c>
      <c r="AY1" s="1334"/>
      <c r="AZ1" s="1363" t="s">
        <v>2</v>
      </c>
      <c r="BA1" s="1364"/>
    </row>
    <row r="2" spans="1:53" s="1083" customFormat="1" ht="29.25" thickBot="1" x14ac:dyDescent="0.3">
      <c r="A2" s="1082" t="s">
        <v>0</v>
      </c>
      <c r="B2" s="1020" t="s">
        <v>385</v>
      </c>
      <c r="C2" s="1021" t="s">
        <v>386</v>
      </c>
      <c r="D2" s="1020" t="s">
        <v>385</v>
      </c>
      <c r="E2" s="1021" t="s">
        <v>386</v>
      </c>
      <c r="F2" s="1020" t="s">
        <v>385</v>
      </c>
      <c r="G2" s="1021" t="s">
        <v>386</v>
      </c>
      <c r="H2" s="1020" t="s">
        <v>385</v>
      </c>
      <c r="I2" s="1021" t="s">
        <v>386</v>
      </c>
      <c r="J2" s="1020" t="s">
        <v>385</v>
      </c>
      <c r="K2" s="1021" t="s">
        <v>386</v>
      </c>
      <c r="L2" s="1020" t="s">
        <v>385</v>
      </c>
      <c r="M2" s="1021" t="s">
        <v>386</v>
      </c>
      <c r="N2" s="1020" t="s">
        <v>385</v>
      </c>
      <c r="O2" s="1021" t="s">
        <v>386</v>
      </c>
      <c r="P2" s="1020" t="s">
        <v>385</v>
      </c>
      <c r="Q2" s="1021" t="s">
        <v>386</v>
      </c>
      <c r="R2" s="1020" t="s">
        <v>385</v>
      </c>
      <c r="S2" s="1021" t="s">
        <v>386</v>
      </c>
      <c r="T2" s="1020" t="s">
        <v>385</v>
      </c>
      <c r="U2" s="1021" t="s">
        <v>386</v>
      </c>
      <c r="V2" s="1020" t="s">
        <v>385</v>
      </c>
      <c r="W2" s="1021" t="s">
        <v>386</v>
      </c>
      <c r="X2" s="1020" t="s">
        <v>385</v>
      </c>
      <c r="Y2" s="1021" t="s">
        <v>386</v>
      </c>
      <c r="Z2" s="1020" t="s">
        <v>385</v>
      </c>
      <c r="AA2" s="1021" t="s">
        <v>386</v>
      </c>
      <c r="AB2" s="1020" t="s">
        <v>385</v>
      </c>
      <c r="AC2" s="1021" t="s">
        <v>386</v>
      </c>
      <c r="AD2" s="1020" t="s">
        <v>385</v>
      </c>
      <c r="AE2" s="1021" t="s">
        <v>386</v>
      </c>
      <c r="AF2" s="1020" t="s">
        <v>385</v>
      </c>
      <c r="AG2" s="1021" t="s">
        <v>386</v>
      </c>
      <c r="AH2" s="1020" t="s">
        <v>385</v>
      </c>
      <c r="AI2" s="1021" t="s">
        <v>386</v>
      </c>
      <c r="AJ2" s="1020" t="s">
        <v>385</v>
      </c>
      <c r="AK2" s="1021" t="s">
        <v>386</v>
      </c>
      <c r="AL2" s="1020" t="s">
        <v>385</v>
      </c>
      <c r="AM2" s="1021" t="s">
        <v>386</v>
      </c>
      <c r="AN2" s="1020" t="s">
        <v>385</v>
      </c>
      <c r="AO2" s="1021" t="s">
        <v>386</v>
      </c>
      <c r="AP2" s="1020" t="s">
        <v>385</v>
      </c>
      <c r="AQ2" s="1021" t="s">
        <v>386</v>
      </c>
      <c r="AR2" s="1020" t="s">
        <v>385</v>
      </c>
      <c r="AS2" s="1021" t="s">
        <v>386</v>
      </c>
      <c r="AT2" s="1020" t="s">
        <v>385</v>
      </c>
      <c r="AU2" s="1021" t="s">
        <v>386</v>
      </c>
      <c r="AV2" s="1020" t="s">
        <v>385</v>
      </c>
      <c r="AW2" s="1021" t="s">
        <v>386</v>
      </c>
      <c r="AX2" s="1020" t="s">
        <v>385</v>
      </c>
      <c r="AY2" s="1021" t="s">
        <v>386</v>
      </c>
      <c r="AZ2" s="1020" t="s">
        <v>385</v>
      </c>
      <c r="BA2" s="1021" t="s">
        <v>386</v>
      </c>
    </row>
    <row r="3" spans="1:53" ht="14.25" x14ac:dyDescent="0.3">
      <c r="A3" s="409" t="s">
        <v>362</v>
      </c>
      <c r="B3" s="1022">
        <v>1944</v>
      </c>
      <c r="C3" s="1084">
        <v>2069</v>
      </c>
      <c r="D3" s="1085">
        <v>263</v>
      </c>
      <c r="E3" s="1025">
        <v>37</v>
      </c>
      <c r="F3" s="1026">
        <v>78</v>
      </c>
      <c r="G3" s="1025">
        <v>26</v>
      </c>
      <c r="H3" s="1026">
        <v>1853</v>
      </c>
      <c r="I3" s="1025">
        <v>4113</v>
      </c>
      <c r="J3" s="1026">
        <v>922</v>
      </c>
      <c r="K3" s="1025">
        <v>855</v>
      </c>
      <c r="L3" s="1026">
        <v>423</v>
      </c>
      <c r="M3" s="1025">
        <v>666</v>
      </c>
      <c r="N3" s="1026">
        <v>373</v>
      </c>
      <c r="O3" s="1025">
        <v>397</v>
      </c>
      <c r="P3" s="1026">
        <v>542</v>
      </c>
      <c r="Q3" s="1025">
        <v>408</v>
      </c>
      <c r="R3" s="1026">
        <v>1301</v>
      </c>
      <c r="S3" s="1025">
        <v>594</v>
      </c>
      <c r="T3" s="1026">
        <v>1441</v>
      </c>
      <c r="U3" s="1025">
        <v>414</v>
      </c>
      <c r="V3" s="1026">
        <v>3387</v>
      </c>
      <c r="W3" s="1025">
        <v>6413</v>
      </c>
      <c r="X3" s="1026">
        <v>5204</v>
      </c>
      <c r="Y3" s="1025">
        <v>4186</v>
      </c>
      <c r="Z3" s="1026">
        <v>38</v>
      </c>
      <c r="AA3" s="1025">
        <v>38</v>
      </c>
      <c r="AB3" s="1026">
        <v>83.92</v>
      </c>
      <c r="AC3" s="1025">
        <v>191.42</v>
      </c>
      <c r="AD3" s="1026">
        <v>2347</v>
      </c>
      <c r="AE3" s="1025">
        <v>2083</v>
      </c>
      <c r="AF3" s="1026">
        <v>3422</v>
      </c>
      <c r="AG3" s="1025">
        <v>3248</v>
      </c>
      <c r="AH3" s="1026">
        <v>1905</v>
      </c>
      <c r="AI3" s="1025">
        <v>1302</v>
      </c>
      <c r="AJ3" s="1026">
        <v>1757</v>
      </c>
      <c r="AK3" s="1025">
        <v>1416</v>
      </c>
      <c r="AL3" s="1026"/>
      <c r="AM3" s="1025"/>
      <c r="AN3" s="1026">
        <v>6723</v>
      </c>
      <c r="AO3" s="1025">
        <v>5977</v>
      </c>
      <c r="AP3" s="1026">
        <v>1294.57</v>
      </c>
      <c r="AQ3" s="1025">
        <v>1427.83</v>
      </c>
      <c r="AR3" s="1026">
        <v>225</v>
      </c>
      <c r="AS3" s="1025">
        <v>238</v>
      </c>
      <c r="AT3" s="1026">
        <v>3057</v>
      </c>
      <c r="AU3" s="1025">
        <v>3719</v>
      </c>
      <c r="AV3" s="1086">
        <f>SUM(B3+D3+F3+H3+J3+L3+N3+P3+R3+T3+V3+X3+Z3+AB3+AD3+AF3+AH3+AJ3+AL3+AN3+AP3+AR3+AT3)</f>
        <v>38583.49</v>
      </c>
      <c r="AW3" s="1087">
        <f>SUM(C3+E3+G3+I3+K3+M3+O3+Q3+S3+U3+W3+Y3+AA3+AC3+AE3+AG3+AI3+AK3+AM3+AO3+AQ3+AS3+AU3)</f>
        <v>39818.25</v>
      </c>
      <c r="AX3" s="1086">
        <v>239.69</v>
      </c>
      <c r="AY3" s="1023">
        <v>26127.88</v>
      </c>
      <c r="AZ3" s="1024">
        <f>AV3+AX3</f>
        <v>38823.18</v>
      </c>
      <c r="BA3" s="1087">
        <f>AW3+AY3</f>
        <v>65946.13</v>
      </c>
    </row>
    <row r="4" spans="1:53" ht="14.25" x14ac:dyDescent="0.3">
      <c r="A4" s="408" t="s">
        <v>363</v>
      </c>
      <c r="B4" s="1049"/>
      <c r="C4" s="89"/>
      <c r="D4" s="1033"/>
      <c r="E4" s="89"/>
      <c r="F4" s="1033"/>
      <c r="G4" s="89"/>
      <c r="H4" s="1033"/>
      <c r="I4" s="89"/>
      <c r="J4" s="1033"/>
      <c r="K4" s="89"/>
      <c r="L4" s="1033"/>
      <c r="M4" s="89"/>
      <c r="N4" s="1033"/>
      <c r="O4" s="89"/>
      <c r="P4" s="1033"/>
      <c r="Q4" s="89"/>
      <c r="R4" s="1033"/>
      <c r="S4" s="89"/>
      <c r="T4" s="1033"/>
      <c r="U4" s="89"/>
      <c r="V4" s="1033"/>
      <c r="W4" s="89"/>
      <c r="X4" s="1033"/>
      <c r="Y4" s="89"/>
      <c r="Z4" s="1033"/>
      <c r="AA4" s="89"/>
      <c r="AB4" s="1033"/>
      <c r="AC4" s="89"/>
      <c r="AD4" s="1033"/>
      <c r="AE4" s="89"/>
      <c r="AF4" s="1033"/>
      <c r="AG4" s="89"/>
      <c r="AH4" s="1033"/>
      <c r="AI4" s="89"/>
      <c r="AJ4" s="1033"/>
      <c r="AK4" s="89"/>
      <c r="AL4" s="1033"/>
      <c r="AM4" s="89"/>
      <c r="AN4" s="1033"/>
      <c r="AO4" s="89"/>
      <c r="AP4" s="1033"/>
      <c r="AQ4" s="89"/>
      <c r="AR4" s="1033"/>
      <c r="AS4" s="89"/>
      <c r="AT4" s="1033"/>
      <c r="AU4" s="89"/>
      <c r="AV4" s="1086">
        <f t="shared" ref="AV4:AW29" si="0">SUM(B4+D4+F4+H4+J4+L4+N4+P4+R4+T4+V4+X4+Z4+AB4+AD4+AF4+AH4+AJ4+AL4+AN4+AP4+AR4+AT4)</f>
        <v>0</v>
      </c>
      <c r="AW4" s="1087">
        <f t="shared" si="0"/>
        <v>0</v>
      </c>
      <c r="AX4" s="1088"/>
      <c r="AY4" s="1032"/>
      <c r="AZ4" s="577">
        <f t="shared" ref="AZ4:BA29" si="1">AV4+AX4</f>
        <v>0</v>
      </c>
      <c r="BA4" s="672">
        <f t="shared" si="1"/>
        <v>0</v>
      </c>
    </row>
    <row r="5" spans="1:53" ht="14.25" x14ac:dyDescent="0.3">
      <c r="A5" s="408" t="s">
        <v>364</v>
      </c>
      <c r="B5" s="1049"/>
      <c r="C5" s="89"/>
      <c r="D5" s="1033"/>
      <c r="E5" s="89"/>
      <c r="F5" s="1033"/>
      <c r="G5" s="89"/>
      <c r="H5" s="1033"/>
      <c r="I5" s="89"/>
      <c r="J5" s="1033"/>
      <c r="K5" s="89"/>
      <c r="L5" s="1033"/>
      <c r="M5" s="89"/>
      <c r="N5" s="1033"/>
      <c r="O5" s="89"/>
      <c r="P5" s="1033"/>
      <c r="Q5" s="89"/>
      <c r="R5" s="1033"/>
      <c r="S5" s="89"/>
      <c r="T5" s="1033"/>
      <c r="U5" s="89"/>
      <c r="V5" s="1033"/>
      <c r="W5" s="89"/>
      <c r="X5" s="1033"/>
      <c r="Y5" s="89"/>
      <c r="Z5" s="1033"/>
      <c r="AA5" s="89"/>
      <c r="AB5" s="1033"/>
      <c r="AC5" s="89"/>
      <c r="AD5" s="1033"/>
      <c r="AE5" s="89"/>
      <c r="AF5" s="1033"/>
      <c r="AG5" s="89"/>
      <c r="AH5" s="1033"/>
      <c r="AI5" s="89"/>
      <c r="AJ5" s="1033"/>
      <c r="AK5" s="89"/>
      <c r="AL5" s="1033"/>
      <c r="AM5" s="89"/>
      <c r="AN5" s="1033"/>
      <c r="AO5" s="89"/>
      <c r="AP5" s="1033"/>
      <c r="AQ5" s="89"/>
      <c r="AR5" s="1033"/>
      <c r="AS5" s="89"/>
      <c r="AT5" s="1033"/>
      <c r="AU5" s="89"/>
      <c r="AV5" s="1086">
        <f t="shared" si="0"/>
        <v>0</v>
      </c>
      <c r="AW5" s="1087">
        <f t="shared" si="0"/>
        <v>0</v>
      </c>
      <c r="AX5" s="1088"/>
      <c r="AY5" s="1032"/>
      <c r="AZ5" s="577">
        <f t="shared" si="1"/>
        <v>0</v>
      </c>
      <c r="BA5" s="672">
        <f t="shared" si="1"/>
        <v>0</v>
      </c>
    </row>
    <row r="6" spans="1:53" ht="14.25" x14ac:dyDescent="0.3">
      <c r="A6" s="408" t="s">
        <v>365</v>
      </c>
      <c r="B6" s="1049">
        <v>4981</v>
      </c>
      <c r="C6" s="1089">
        <v>7415</v>
      </c>
      <c r="D6" s="1090"/>
      <c r="E6" s="89"/>
      <c r="F6" s="1033">
        <v>964</v>
      </c>
      <c r="G6" s="89">
        <v>981</v>
      </c>
      <c r="H6" s="1033"/>
      <c r="I6" s="89"/>
      <c r="J6" s="1033">
        <v>455</v>
      </c>
      <c r="K6" s="89">
        <v>852</v>
      </c>
      <c r="L6" s="1033"/>
      <c r="M6" s="89"/>
      <c r="N6" s="1033"/>
      <c r="O6" s="89"/>
      <c r="P6" s="1033">
        <v>7</v>
      </c>
      <c r="Q6" s="89">
        <v>7</v>
      </c>
      <c r="R6" s="1033">
        <v>4010</v>
      </c>
      <c r="S6" s="89">
        <v>3101</v>
      </c>
      <c r="T6" s="1033"/>
      <c r="U6" s="89"/>
      <c r="V6" s="1033"/>
      <c r="W6" s="89"/>
      <c r="X6" s="1033"/>
      <c r="Y6" s="89"/>
      <c r="Z6" s="1033"/>
      <c r="AA6" s="89"/>
      <c r="AB6" s="1033"/>
      <c r="AC6" s="89"/>
      <c r="AD6" s="1033">
        <v>20</v>
      </c>
      <c r="AE6" s="89">
        <v>23</v>
      </c>
      <c r="AF6" s="1033"/>
      <c r="AG6" s="89"/>
      <c r="AH6" s="1033">
        <v>418</v>
      </c>
      <c r="AI6" s="89">
        <v>591</v>
      </c>
      <c r="AJ6" s="1033">
        <v>11</v>
      </c>
      <c r="AK6" s="89">
        <v>13</v>
      </c>
      <c r="AL6" s="1033"/>
      <c r="AM6" s="89"/>
      <c r="AN6" s="1033">
        <v>17420</v>
      </c>
      <c r="AO6" s="89">
        <v>4700</v>
      </c>
      <c r="AP6" s="1033"/>
      <c r="AQ6" s="89"/>
      <c r="AR6" s="1033"/>
      <c r="AS6" s="89"/>
      <c r="AT6" s="1033">
        <v>48</v>
      </c>
      <c r="AU6" s="89">
        <v>99</v>
      </c>
      <c r="AV6" s="1086">
        <f t="shared" si="0"/>
        <v>28334</v>
      </c>
      <c r="AW6" s="1087">
        <f t="shared" si="0"/>
        <v>17782</v>
      </c>
      <c r="AX6" s="1088">
        <v>128053</v>
      </c>
      <c r="AY6" s="1032">
        <v>44418.16</v>
      </c>
      <c r="AZ6" s="577">
        <f t="shared" si="1"/>
        <v>156387</v>
      </c>
      <c r="BA6" s="672">
        <f t="shared" si="1"/>
        <v>62200.160000000003</v>
      </c>
    </row>
    <row r="7" spans="1:53" ht="14.25" x14ac:dyDescent="0.3">
      <c r="A7" s="408" t="s">
        <v>366</v>
      </c>
      <c r="B7" s="1049">
        <v>25</v>
      </c>
      <c r="C7" s="1089">
        <v>25</v>
      </c>
      <c r="D7" s="1090"/>
      <c r="E7" s="89"/>
      <c r="F7" s="1033">
        <v>525</v>
      </c>
      <c r="G7" s="89">
        <v>325</v>
      </c>
      <c r="H7" s="1033"/>
      <c r="I7" s="89"/>
      <c r="J7" s="1033">
        <v>500</v>
      </c>
      <c r="K7" s="89">
        <v>50</v>
      </c>
      <c r="L7" s="1033"/>
      <c r="M7" s="89"/>
      <c r="N7" s="1033">
        <v>26</v>
      </c>
      <c r="O7" s="89">
        <v>26</v>
      </c>
      <c r="P7" s="1033">
        <v>1</v>
      </c>
      <c r="Q7" s="89">
        <v>1</v>
      </c>
      <c r="R7" s="1033">
        <v>25</v>
      </c>
      <c r="S7" s="89">
        <v>25</v>
      </c>
      <c r="T7" s="1033"/>
      <c r="U7" s="89"/>
      <c r="V7" s="1033">
        <v>36</v>
      </c>
      <c r="W7" s="89">
        <v>37</v>
      </c>
      <c r="X7" s="1033"/>
      <c r="Y7" s="89"/>
      <c r="Z7" s="1033"/>
      <c r="AA7" s="89"/>
      <c r="AB7" s="1033"/>
      <c r="AC7" s="89"/>
      <c r="AD7" s="1033"/>
      <c r="AE7" s="89"/>
      <c r="AF7" s="1033"/>
      <c r="AG7" s="89"/>
      <c r="AH7" s="1033">
        <v>31</v>
      </c>
      <c r="AI7" s="89">
        <v>44</v>
      </c>
      <c r="AJ7" s="1033">
        <v>1601</v>
      </c>
      <c r="AK7" s="89">
        <v>1627</v>
      </c>
      <c r="AL7" s="1033"/>
      <c r="AM7" s="89"/>
      <c r="AN7" s="1033">
        <v>169241</v>
      </c>
      <c r="AO7" s="89">
        <v>234581</v>
      </c>
      <c r="AP7" s="1033"/>
      <c r="AQ7" s="89"/>
      <c r="AR7" s="1033"/>
      <c r="AS7" s="89"/>
      <c r="AT7" s="1033">
        <v>44</v>
      </c>
      <c r="AU7" s="89">
        <v>44</v>
      </c>
      <c r="AV7" s="1086">
        <f t="shared" si="0"/>
        <v>172055</v>
      </c>
      <c r="AW7" s="1087">
        <f t="shared" si="0"/>
        <v>236785</v>
      </c>
      <c r="AX7" s="1088">
        <v>117098</v>
      </c>
      <c r="AY7" s="1032">
        <v>104406.75</v>
      </c>
      <c r="AZ7" s="577">
        <f t="shared" si="1"/>
        <v>289153</v>
      </c>
      <c r="BA7" s="672">
        <f t="shared" si="1"/>
        <v>341191.75</v>
      </c>
    </row>
    <row r="8" spans="1:53" ht="14.25" x14ac:dyDescent="0.3">
      <c r="A8" s="408" t="s">
        <v>367</v>
      </c>
      <c r="B8" s="1049">
        <v>17433</v>
      </c>
      <c r="C8" s="1089">
        <v>12268</v>
      </c>
      <c r="D8" s="1090">
        <v>2202</v>
      </c>
      <c r="E8" s="89">
        <v>1960</v>
      </c>
      <c r="F8" s="1033">
        <v>1294</v>
      </c>
      <c r="G8" s="89">
        <v>192</v>
      </c>
      <c r="H8" s="1033">
        <v>7674</v>
      </c>
      <c r="I8" s="89">
        <v>8890</v>
      </c>
      <c r="J8" s="1033">
        <v>2513</v>
      </c>
      <c r="K8" s="89">
        <v>2676</v>
      </c>
      <c r="L8" s="1033">
        <v>16223</v>
      </c>
      <c r="M8" s="89">
        <v>10695</v>
      </c>
      <c r="N8" s="1033">
        <v>2163</v>
      </c>
      <c r="O8" s="89">
        <v>2840</v>
      </c>
      <c r="P8" s="1033">
        <v>2578</v>
      </c>
      <c r="Q8" s="89">
        <v>4976</v>
      </c>
      <c r="R8" s="1033">
        <v>3433</v>
      </c>
      <c r="S8" s="89">
        <v>2964</v>
      </c>
      <c r="T8" s="1033">
        <v>2722</v>
      </c>
      <c r="U8" s="89">
        <v>2977</v>
      </c>
      <c r="V8" s="1033">
        <v>20650</v>
      </c>
      <c r="W8" s="89">
        <v>44083</v>
      </c>
      <c r="X8" s="1033">
        <v>101065</v>
      </c>
      <c r="Y8" s="89">
        <v>44444</v>
      </c>
      <c r="Z8" s="1033">
        <v>8721</v>
      </c>
      <c r="AA8" s="89">
        <v>10157</v>
      </c>
      <c r="AB8" s="1033">
        <v>7850.67</v>
      </c>
      <c r="AC8" s="89">
        <v>34827.61</v>
      </c>
      <c r="AD8" s="1033">
        <v>4937</v>
      </c>
      <c r="AE8" s="89">
        <v>5400</v>
      </c>
      <c r="AF8" s="1033">
        <v>35006</v>
      </c>
      <c r="AG8" s="89">
        <v>26639</v>
      </c>
      <c r="AH8" s="1033">
        <v>7178</v>
      </c>
      <c r="AI8" s="89">
        <v>5003</v>
      </c>
      <c r="AJ8" s="1033">
        <v>11257</v>
      </c>
      <c r="AK8" s="89">
        <v>6374</v>
      </c>
      <c r="AL8" s="1033"/>
      <c r="AM8" s="89"/>
      <c r="AN8" s="1033">
        <v>39485</v>
      </c>
      <c r="AO8" s="89">
        <v>199809</v>
      </c>
      <c r="AP8" s="1033"/>
      <c r="AQ8" s="89"/>
      <c r="AR8" s="1033">
        <v>7565</v>
      </c>
      <c r="AS8" s="89">
        <v>10105</v>
      </c>
      <c r="AT8" s="1033">
        <v>12068</v>
      </c>
      <c r="AU8" s="89">
        <v>11868</v>
      </c>
      <c r="AV8" s="1086">
        <f t="shared" si="0"/>
        <v>314017.67000000004</v>
      </c>
      <c r="AW8" s="1087">
        <f t="shared" si="0"/>
        <v>449147.61</v>
      </c>
      <c r="AX8" s="1088">
        <v>779525.92</v>
      </c>
      <c r="AY8" s="1032">
        <v>673750.33</v>
      </c>
      <c r="AZ8" s="577">
        <f t="shared" si="1"/>
        <v>1093543.5900000001</v>
      </c>
      <c r="BA8" s="672">
        <f t="shared" si="1"/>
        <v>1122897.94</v>
      </c>
    </row>
    <row r="9" spans="1:53" ht="14.25" x14ac:dyDescent="0.3">
      <c r="A9" s="408" t="s">
        <v>368</v>
      </c>
      <c r="B9" s="1049"/>
      <c r="C9" s="1089"/>
      <c r="D9" s="1090"/>
      <c r="E9" s="89"/>
      <c r="F9" s="1033"/>
      <c r="G9" s="1089"/>
      <c r="H9" s="1090"/>
      <c r="I9" s="89"/>
      <c r="J9" s="1033"/>
      <c r="K9" s="89"/>
      <c r="L9" s="1033"/>
      <c r="M9" s="89"/>
      <c r="N9" s="1033"/>
      <c r="O9" s="89"/>
      <c r="P9" s="1033"/>
      <c r="Q9" s="89"/>
      <c r="R9" s="1033"/>
      <c r="S9" s="89"/>
      <c r="T9" s="1033"/>
      <c r="U9" s="89"/>
      <c r="V9" s="1033"/>
      <c r="W9" s="89"/>
      <c r="X9" s="1033">
        <v>70</v>
      </c>
      <c r="Y9" s="89">
        <v>75</v>
      </c>
      <c r="Z9" s="1033"/>
      <c r="AA9" s="89"/>
      <c r="AB9" s="1033"/>
      <c r="AC9" s="89"/>
      <c r="AD9" s="1033"/>
      <c r="AE9" s="89"/>
      <c r="AF9" s="1033"/>
      <c r="AG9" s="89"/>
      <c r="AH9" s="1033"/>
      <c r="AI9" s="89"/>
      <c r="AJ9" s="1033"/>
      <c r="AK9" s="89"/>
      <c r="AL9" s="1033"/>
      <c r="AM9" s="89"/>
      <c r="AN9" s="1033">
        <v>403</v>
      </c>
      <c r="AO9" s="89">
        <v>463</v>
      </c>
      <c r="AP9" s="1033"/>
      <c r="AQ9" s="89">
        <v>25</v>
      </c>
      <c r="AR9" s="1033"/>
      <c r="AS9" s="89"/>
      <c r="AT9" s="1033"/>
      <c r="AU9" s="89"/>
      <c r="AV9" s="1086">
        <f t="shared" si="0"/>
        <v>473</v>
      </c>
      <c r="AW9" s="1087">
        <f t="shared" si="0"/>
        <v>563</v>
      </c>
      <c r="AX9" s="1088"/>
      <c r="AY9" s="1032"/>
      <c r="AZ9" s="577">
        <f t="shared" si="1"/>
        <v>473</v>
      </c>
      <c r="BA9" s="672">
        <f t="shared" si="1"/>
        <v>563</v>
      </c>
    </row>
    <row r="10" spans="1:53" ht="14.25" x14ac:dyDescent="0.3">
      <c r="A10" s="408" t="s">
        <v>369</v>
      </c>
      <c r="B10" s="1049"/>
      <c r="C10" s="1091"/>
      <c r="D10" s="1092"/>
      <c r="E10" s="89"/>
      <c r="F10" s="1033"/>
      <c r="G10" s="1093"/>
      <c r="H10" s="1094"/>
      <c r="I10" s="89"/>
      <c r="J10" s="1033"/>
      <c r="K10" s="89"/>
      <c r="L10" s="1033"/>
      <c r="M10" s="89"/>
      <c r="N10" s="1033"/>
      <c r="O10" s="89"/>
      <c r="P10" s="1033"/>
      <c r="Q10" s="89"/>
      <c r="R10" s="1033"/>
      <c r="S10" s="89"/>
      <c r="T10" s="1033"/>
      <c r="U10" s="89"/>
      <c r="V10" s="1033"/>
      <c r="W10" s="89"/>
      <c r="X10" s="1033"/>
      <c r="Y10" s="89"/>
      <c r="Z10" s="1033"/>
      <c r="AA10" s="89"/>
      <c r="AB10" s="1033"/>
      <c r="AC10" s="89"/>
      <c r="AD10" s="1033"/>
      <c r="AE10" s="89"/>
      <c r="AF10" s="1033"/>
      <c r="AG10" s="89"/>
      <c r="AH10" s="1033"/>
      <c r="AI10" s="89"/>
      <c r="AJ10" s="1033"/>
      <c r="AK10" s="89"/>
      <c r="AL10" s="1033"/>
      <c r="AM10" s="89"/>
      <c r="AN10" s="1033">
        <v>10</v>
      </c>
      <c r="AO10" s="89">
        <v>11</v>
      </c>
      <c r="AP10" s="1033">
        <v>6556.71</v>
      </c>
      <c r="AQ10" s="89">
        <v>5450.78</v>
      </c>
      <c r="AR10" s="1033"/>
      <c r="AS10" s="89"/>
      <c r="AT10" s="1033"/>
      <c r="AU10" s="89"/>
      <c r="AV10" s="1086">
        <f t="shared" si="0"/>
        <v>6566.71</v>
      </c>
      <c r="AW10" s="1087">
        <f t="shared" si="0"/>
        <v>5461.78</v>
      </c>
      <c r="AX10" s="1088"/>
      <c r="AY10" s="1032"/>
      <c r="AZ10" s="577">
        <f t="shared" si="1"/>
        <v>6566.71</v>
      </c>
      <c r="BA10" s="672">
        <f t="shared" si="1"/>
        <v>5461.78</v>
      </c>
    </row>
    <row r="11" spans="1:53" ht="14.25" x14ac:dyDescent="0.3">
      <c r="A11" s="408" t="s">
        <v>370</v>
      </c>
      <c r="B11" s="1049"/>
      <c r="C11" s="89"/>
      <c r="D11" s="1033"/>
      <c r="E11" s="89"/>
      <c r="F11" s="1033"/>
      <c r="G11" s="89"/>
      <c r="H11" s="1033"/>
      <c r="I11" s="89"/>
      <c r="J11" s="1033"/>
      <c r="K11" s="89"/>
      <c r="L11" s="1033"/>
      <c r="M11" s="89"/>
      <c r="N11" s="1033"/>
      <c r="O11" s="89"/>
      <c r="P11" s="1033"/>
      <c r="Q11" s="89"/>
      <c r="R11" s="1033"/>
      <c r="S11" s="89"/>
      <c r="T11" s="1033"/>
      <c r="U11" s="89"/>
      <c r="V11" s="1033"/>
      <c r="W11" s="89"/>
      <c r="X11" s="1033"/>
      <c r="Y11" s="89"/>
      <c r="Z11" s="1033"/>
      <c r="AA11" s="89"/>
      <c r="AB11" s="1033"/>
      <c r="AC11" s="89"/>
      <c r="AD11" s="1033"/>
      <c r="AE11" s="89"/>
      <c r="AF11" s="1033"/>
      <c r="AG11" s="89"/>
      <c r="AH11" s="1033"/>
      <c r="AI11" s="89"/>
      <c r="AJ11" s="1033"/>
      <c r="AK11" s="89"/>
      <c r="AL11" s="1033"/>
      <c r="AM11" s="89"/>
      <c r="AN11" s="1033"/>
      <c r="AO11" s="89"/>
      <c r="AP11" s="1033"/>
      <c r="AQ11" s="89"/>
      <c r="AR11" s="1033"/>
      <c r="AS11" s="89"/>
      <c r="AT11" s="1033"/>
      <c r="AU11" s="89"/>
      <c r="AV11" s="1086">
        <f t="shared" si="0"/>
        <v>0</v>
      </c>
      <c r="AW11" s="1087">
        <f t="shared" si="0"/>
        <v>0</v>
      </c>
      <c r="AX11" s="1088"/>
      <c r="AY11" s="1032"/>
      <c r="AZ11" s="577">
        <f t="shared" si="1"/>
        <v>0</v>
      </c>
      <c r="BA11" s="672">
        <f t="shared" si="1"/>
        <v>0</v>
      </c>
    </row>
    <row r="12" spans="1:53" ht="14.25" x14ac:dyDescent="0.3">
      <c r="A12" s="408" t="s">
        <v>371</v>
      </c>
      <c r="B12" s="1049"/>
      <c r="C12" s="1093"/>
      <c r="D12" s="1094"/>
      <c r="E12" s="89"/>
      <c r="F12" s="1033"/>
      <c r="G12" s="1093"/>
      <c r="H12" s="1094"/>
      <c r="I12" s="89"/>
      <c r="J12" s="1033"/>
      <c r="K12" s="89"/>
      <c r="L12" s="1033"/>
      <c r="M12" s="89"/>
      <c r="N12" s="1033"/>
      <c r="O12" s="89"/>
      <c r="P12" s="1033"/>
      <c r="Q12" s="89"/>
      <c r="R12" s="1033"/>
      <c r="S12" s="89"/>
      <c r="T12" s="1033"/>
      <c r="U12" s="89"/>
      <c r="V12" s="1033"/>
      <c r="W12" s="89"/>
      <c r="X12" s="1033"/>
      <c r="Y12" s="89"/>
      <c r="Z12" s="1033"/>
      <c r="AA12" s="89"/>
      <c r="AB12" s="1033"/>
      <c r="AC12" s="89"/>
      <c r="AD12" s="1033"/>
      <c r="AE12" s="89"/>
      <c r="AF12" s="1033"/>
      <c r="AG12" s="89"/>
      <c r="AH12" s="1033"/>
      <c r="AI12" s="89"/>
      <c r="AJ12" s="1033"/>
      <c r="AK12" s="89"/>
      <c r="AL12" s="1033"/>
      <c r="AM12" s="89"/>
      <c r="AN12" s="1033"/>
      <c r="AO12" s="89"/>
      <c r="AP12" s="1033"/>
      <c r="AQ12" s="89"/>
      <c r="AR12" s="1033"/>
      <c r="AS12" s="89"/>
      <c r="AT12" s="1033"/>
      <c r="AU12" s="89"/>
      <c r="AV12" s="1086">
        <f t="shared" si="0"/>
        <v>0</v>
      </c>
      <c r="AW12" s="1087">
        <f t="shared" si="0"/>
        <v>0</v>
      </c>
      <c r="AX12" s="1088"/>
      <c r="AY12" s="1032"/>
      <c r="AZ12" s="577">
        <f t="shared" si="1"/>
        <v>0</v>
      </c>
      <c r="BA12" s="672">
        <f t="shared" si="1"/>
        <v>0</v>
      </c>
    </row>
    <row r="13" spans="1:53" ht="14.25" x14ac:dyDescent="0.3">
      <c r="A13" s="408" t="s">
        <v>372</v>
      </c>
      <c r="B13" s="1049"/>
      <c r="C13" s="1093"/>
      <c r="D13" s="1094"/>
      <c r="E13" s="89"/>
      <c r="F13" s="1033"/>
      <c r="G13" s="1093"/>
      <c r="H13" s="1094"/>
      <c r="I13" s="89"/>
      <c r="J13" s="1033"/>
      <c r="K13" s="89"/>
      <c r="L13" s="1033"/>
      <c r="M13" s="89"/>
      <c r="N13" s="1033"/>
      <c r="O13" s="89"/>
      <c r="P13" s="1033"/>
      <c r="Q13" s="89"/>
      <c r="R13" s="1033"/>
      <c r="S13" s="89"/>
      <c r="T13" s="1033"/>
      <c r="U13" s="89"/>
      <c r="V13" s="1033"/>
      <c r="W13" s="89"/>
      <c r="X13" s="1033"/>
      <c r="Y13" s="89"/>
      <c r="Z13" s="1033"/>
      <c r="AA13" s="89"/>
      <c r="AB13" s="1033"/>
      <c r="AC13" s="89"/>
      <c r="AD13" s="1033"/>
      <c r="AE13" s="89"/>
      <c r="AF13" s="1033"/>
      <c r="AG13" s="89"/>
      <c r="AH13" s="1033"/>
      <c r="AI13" s="89"/>
      <c r="AJ13" s="1033"/>
      <c r="AK13" s="89"/>
      <c r="AL13" s="1033"/>
      <c r="AM13" s="89"/>
      <c r="AN13" s="1033"/>
      <c r="AO13" s="89"/>
      <c r="AP13" s="1033">
        <v>5980.54</v>
      </c>
      <c r="AQ13" s="89">
        <v>902.47</v>
      </c>
      <c r="AR13" s="1033"/>
      <c r="AS13" s="89"/>
      <c r="AT13" s="1033"/>
      <c r="AU13" s="89"/>
      <c r="AV13" s="1086">
        <f t="shared" si="0"/>
        <v>5980.54</v>
      </c>
      <c r="AW13" s="1087">
        <f t="shared" si="0"/>
        <v>902.47</v>
      </c>
      <c r="AX13" s="1088">
        <v>0.01</v>
      </c>
      <c r="AY13" s="1032">
        <v>0.01</v>
      </c>
      <c r="AZ13" s="577">
        <f t="shared" si="1"/>
        <v>5980.55</v>
      </c>
      <c r="BA13" s="672">
        <f t="shared" si="1"/>
        <v>902.48</v>
      </c>
    </row>
    <row r="14" spans="1:53" ht="14.25" x14ac:dyDescent="0.3">
      <c r="A14" s="408" t="s">
        <v>373</v>
      </c>
      <c r="B14" s="1049"/>
      <c r="C14" s="1093"/>
      <c r="D14" s="1094"/>
      <c r="E14" s="89"/>
      <c r="F14" s="1033"/>
      <c r="G14" s="1093"/>
      <c r="H14" s="1094"/>
      <c r="I14" s="89"/>
      <c r="J14" s="1033"/>
      <c r="K14" s="89"/>
      <c r="L14" s="1033"/>
      <c r="M14" s="89"/>
      <c r="N14" s="1033"/>
      <c r="O14" s="89"/>
      <c r="P14" s="1033"/>
      <c r="Q14" s="89"/>
      <c r="R14" s="1033"/>
      <c r="S14" s="89"/>
      <c r="T14" s="1033"/>
      <c r="U14" s="89"/>
      <c r="V14" s="1033"/>
      <c r="W14" s="89"/>
      <c r="X14" s="1033"/>
      <c r="Y14" s="89"/>
      <c r="Z14" s="1033"/>
      <c r="AA14" s="89"/>
      <c r="AB14" s="1033"/>
      <c r="AC14" s="89"/>
      <c r="AD14" s="1033"/>
      <c r="AE14" s="89"/>
      <c r="AF14" s="1033"/>
      <c r="AG14" s="89"/>
      <c r="AH14" s="1033"/>
      <c r="AI14" s="89"/>
      <c r="AJ14" s="1033"/>
      <c r="AK14" s="89"/>
      <c r="AL14" s="1033"/>
      <c r="AM14" s="89"/>
      <c r="AN14" s="1033"/>
      <c r="AO14" s="89"/>
      <c r="AP14" s="1033"/>
      <c r="AQ14" s="89"/>
      <c r="AR14" s="1033"/>
      <c r="AS14" s="89"/>
      <c r="AT14" s="1033"/>
      <c r="AU14" s="89"/>
      <c r="AV14" s="1086"/>
      <c r="AW14" s="1087"/>
      <c r="AX14" s="1088"/>
      <c r="AY14" s="1032"/>
      <c r="AZ14" s="577"/>
      <c r="BA14" s="672"/>
    </row>
    <row r="15" spans="1:53" ht="14.25" x14ac:dyDescent="0.3">
      <c r="A15" s="408" t="s">
        <v>374</v>
      </c>
      <c r="B15" s="1049"/>
      <c r="C15" s="1093"/>
      <c r="D15" s="1094"/>
      <c r="E15" s="89"/>
      <c r="F15" s="1033"/>
      <c r="G15" s="1093"/>
      <c r="H15" s="1094"/>
      <c r="I15" s="89"/>
      <c r="J15" s="1033"/>
      <c r="K15" s="89"/>
      <c r="L15" s="1033"/>
      <c r="M15" s="89"/>
      <c r="N15" s="1033"/>
      <c r="O15" s="89"/>
      <c r="P15" s="1033"/>
      <c r="Q15" s="89"/>
      <c r="R15" s="1033"/>
      <c r="S15" s="89"/>
      <c r="T15" s="1033"/>
      <c r="U15" s="89"/>
      <c r="V15" s="1033"/>
      <c r="W15" s="89"/>
      <c r="X15" s="1033"/>
      <c r="Y15" s="89"/>
      <c r="Z15" s="1033"/>
      <c r="AA15" s="89"/>
      <c r="AB15" s="1033"/>
      <c r="AC15" s="89"/>
      <c r="AD15" s="1033"/>
      <c r="AE15" s="89"/>
      <c r="AF15" s="1033"/>
      <c r="AG15" s="89"/>
      <c r="AH15" s="1033"/>
      <c r="AI15" s="89"/>
      <c r="AJ15" s="1033"/>
      <c r="AK15" s="89"/>
      <c r="AL15" s="1033"/>
      <c r="AM15" s="89"/>
      <c r="AN15" s="1033"/>
      <c r="AO15" s="89"/>
      <c r="AP15" s="1033"/>
      <c r="AQ15" s="89"/>
      <c r="AR15" s="1033"/>
      <c r="AS15" s="89"/>
      <c r="AT15" s="1033"/>
      <c r="AU15" s="89"/>
      <c r="AV15" s="1086"/>
      <c r="AW15" s="1087"/>
      <c r="AX15" s="1088">
        <v>649910.79</v>
      </c>
      <c r="AY15" s="1032">
        <v>839182.02</v>
      </c>
      <c r="AZ15" s="577"/>
      <c r="BA15" s="672"/>
    </row>
    <row r="16" spans="1:53" ht="14.25" x14ac:dyDescent="0.3">
      <c r="A16" s="408" t="s">
        <v>74</v>
      </c>
      <c r="B16" s="1049"/>
      <c r="C16" s="1093"/>
      <c r="D16" s="1094"/>
      <c r="E16" s="89"/>
      <c r="F16" s="1033"/>
      <c r="G16" s="1093"/>
      <c r="H16" s="1094"/>
      <c r="I16" s="89"/>
      <c r="J16" s="1033"/>
      <c r="K16" s="89"/>
      <c r="L16" s="1033"/>
      <c r="M16" s="89"/>
      <c r="N16" s="1033"/>
      <c r="O16" s="89"/>
      <c r="P16" s="1033"/>
      <c r="Q16" s="89"/>
      <c r="R16" s="1033"/>
      <c r="S16" s="89"/>
      <c r="T16" s="1033"/>
      <c r="U16" s="89"/>
      <c r="V16" s="1033"/>
      <c r="W16" s="89"/>
      <c r="X16" s="1033"/>
      <c r="Y16" s="89"/>
      <c r="Z16" s="1033"/>
      <c r="AA16" s="89"/>
      <c r="AB16" s="1033"/>
      <c r="AC16" s="89"/>
      <c r="AD16" s="1033"/>
      <c r="AE16" s="89"/>
      <c r="AF16" s="1033"/>
      <c r="AG16" s="89"/>
      <c r="AH16" s="1033"/>
      <c r="AI16" s="89"/>
      <c r="AJ16" s="1033"/>
      <c r="AK16" s="89"/>
      <c r="AL16" s="1033"/>
      <c r="AM16" s="89"/>
      <c r="AN16" s="1033"/>
      <c r="AO16" s="89"/>
      <c r="AP16" s="1033"/>
      <c r="AQ16" s="89"/>
      <c r="AR16" s="1033"/>
      <c r="AS16" s="89"/>
      <c r="AT16" s="1033"/>
      <c r="AU16" s="89"/>
      <c r="AV16" s="1086">
        <f t="shared" si="0"/>
        <v>0</v>
      </c>
      <c r="AW16" s="1087">
        <f t="shared" si="0"/>
        <v>0</v>
      </c>
      <c r="AX16" s="1088"/>
      <c r="AY16" s="1032"/>
      <c r="AZ16" s="577">
        <f t="shared" si="1"/>
        <v>0</v>
      </c>
      <c r="BA16" s="672">
        <f t="shared" si="1"/>
        <v>0</v>
      </c>
    </row>
    <row r="17" spans="1:53" s="1102" customFormat="1" ht="14.25" x14ac:dyDescent="0.3">
      <c r="A17" s="766" t="s">
        <v>375</v>
      </c>
      <c r="B17" s="1038">
        <f>SUM(B3:B16)</f>
        <v>24383</v>
      </c>
      <c r="C17" s="1095">
        <f>SUM(C3:C16)</f>
        <v>21777</v>
      </c>
      <c r="D17" s="1096">
        <f>SUM(D3:D16)</f>
        <v>2465</v>
      </c>
      <c r="E17" s="1095">
        <f t="shared" ref="E17:O17" si="2">SUM(E3:E16)</f>
        <v>1997</v>
      </c>
      <c r="F17" s="1096">
        <f>SUM(F3:F16)</f>
        <v>2861</v>
      </c>
      <c r="G17" s="1095">
        <f t="shared" si="2"/>
        <v>1524</v>
      </c>
      <c r="H17" s="1096">
        <f>SUM(H3:H16)</f>
        <v>9527</v>
      </c>
      <c r="I17" s="1095">
        <f t="shared" si="2"/>
        <v>13003</v>
      </c>
      <c r="J17" s="1096">
        <f>SUM(J3:J16)</f>
        <v>4390</v>
      </c>
      <c r="K17" s="1095">
        <f t="shared" si="2"/>
        <v>4433</v>
      </c>
      <c r="L17" s="1096">
        <f>SUM(L3:L16)</f>
        <v>16646</v>
      </c>
      <c r="M17" s="1095">
        <f t="shared" si="2"/>
        <v>11361</v>
      </c>
      <c r="N17" s="1096">
        <f>SUM(N3:N16)</f>
        <v>2562</v>
      </c>
      <c r="O17" s="1095">
        <f t="shared" si="2"/>
        <v>3263</v>
      </c>
      <c r="P17" s="1096">
        <f>SUM(P3:P16)</f>
        <v>3128</v>
      </c>
      <c r="Q17" s="1095">
        <f t="shared" ref="Q17:AU17" si="3">SUM(Q3:Q16)</f>
        <v>5392</v>
      </c>
      <c r="R17" s="1096">
        <f>SUM(R3:R16)</f>
        <v>8769</v>
      </c>
      <c r="S17" s="1095">
        <f t="shared" si="3"/>
        <v>6684</v>
      </c>
      <c r="T17" s="1096">
        <f>SUM(T3:T16)</f>
        <v>4163</v>
      </c>
      <c r="U17" s="1095">
        <f t="shared" si="3"/>
        <v>3391</v>
      </c>
      <c r="V17" s="1096">
        <f>SUM(V3:V16)</f>
        <v>24073</v>
      </c>
      <c r="W17" s="1095">
        <f t="shared" si="3"/>
        <v>50533</v>
      </c>
      <c r="X17" s="1096">
        <f>SUM(X3:X16)</f>
        <v>106339</v>
      </c>
      <c r="Y17" s="1095">
        <f t="shared" si="3"/>
        <v>48705</v>
      </c>
      <c r="Z17" s="1096">
        <f>SUM(Z3:Z16)</f>
        <v>8759</v>
      </c>
      <c r="AA17" s="1095">
        <f t="shared" si="3"/>
        <v>10195</v>
      </c>
      <c r="AB17" s="1096">
        <f>SUM(AB3:AB16)</f>
        <v>7934.59</v>
      </c>
      <c r="AC17" s="1095">
        <f t="shared" si="3"/>
        <v>35019.03</v>
      </c>
      <c r="AD17" s="1096">
        <f>SUM(AD3:AD16)</f>
        <v>7304</v>
      </c>
      <c r="AE17" s="1095">
        <f t="shared" si="3"/>
        <v>7506</v>
      </c>
      <c r="AF17" s="1096">
        <f>SUM(AF3:AF16)</f>
        <v>38428</v>
      </c>
      <c r="AG17" s="1095">
        <f t="shared" si="3"/>
        <v>29887</v>
      </c>
      <c r="AH17" s="1096">
        <f>SUM(AH3:AH16)</f>
        <v>9532</v>
      </c>
      <c r="AI17" s="1095">
        <f t="shared" si="3"/>
        <v>6940</v>
      </c>
      <c r="AJ17" s="1095">
        <f t="shared" si="3"/>
        <v>14626</v>
      </c>
      <c r="AK17" s="1095">
        <f t="shared" si="3"/>
        <v>9430</v>
      </c>
      <c r="AL17" s="1096"/>
      <c r="AM17" s="1095">
        <f t="shared" si="3"/>
        <v>0</v>
      </c>
      <c r="AN17" s="1096">
        <f>SUM(AN3:AN16)</f>
        <v>233282</v>
      </c>
      <c r="AO17" s="1095">
        <f t="shared" si="3"/>
        <v>445541</v>
      </c>
      <c r="AP17" s="1096">
        <f>SUM(AP3:AP16)</f>
        <v>13831.82</v>
      </c>
      <c r="AQ17" s="1095">
        <f t="shared" si="3"/>
        <v>7806.08</v>
      </c>
      <c r="AR17" s="1096">
        <f>SUM(AR3:AR16)</f>
        <v>7790</v>
      </c>
      <c r="AS17" s="1095">
        <f t="shared" si="3"/>
        <v>10343</v>
      </c>
      <c r="AT17" s="1096">
        <f>SUM(AT3:AT16)</f>
        <v>15217</v>
      </c>
      <c r="AU17" s="1095">
        <f t="shared" si="3"/>
        <v>15730</v>
      </c>
      <c r="AV17" s="1097">
        <f t="shared" si="0"/>
        <v>566010.40999999992</v>
      </c>
      <c r="AW17" s="1098">
        <f t="shared" si="0"/>
        <v>750460.11</v>
      </c>
      <c r="AX17" s="1099">
        <f>SUM(AX3:AX16)</f>
        <v>1674827.4100000001</v>
      </c>
      <c r="AY17" s="1039">
        <f>SUM(AY3:AY16)</f>
        <v>1687885.15</v>
      </c>
      <c r="AZ17" s="1100">
        <f t="shared" si="1"/>
        <v>2240837.8200000003</v>
      </c>
      <c r="BA17" s="1101">
        <f t="shared" si="1"/>
        <v>2438345.2599999998</v>
      </c>
    </row>
    <row r="18" spans="1:53" ht="14.25" x14ac:dyDescent="0.3">
      <c r="A18" s="408" t="s">
        <v>376</v>
      </c>
      <c r="B18" s="1049"/>
      <c r="C18" s="1093"/>
      <c r="D18" s="1094"/>
      <c r="E18" s="89"/>
      <c r="F18" s="1033"/>
      <c r="G18" s="1093"/>
      <c r="H18" s="1094"/>
      <c r="I18" s="89"/>
      <c r="J18" s="1033"/>
      <c r="K18" s="89"/>
      <c r="L18" s="1033"/>
      <c r="M18" s="89"/>
      <c r="N18" s="1033"/>
      <c r="O18" s="89"/>
      <c r="P18" s="1033"/>
      <c r="Q18" s="89"/>
      <c r="R18" s="1033">
        <v>0.11</v>
      </c>
      <c r="S18" s="89">
        <v>0</v>
      </c>
      <c r="T18" s="1033"/>
      <c r="U18" s="89"/>
      <c r="V18" s="1033"/>
      <c r="W18" s="89"/>
      <c r="X18" s="1033"/>
      <c r="Y18" s="89"/>
      <c r="Z18" s="1033"/>
      <c r="AA18" s="89"/>
      <c r="AB18" s="1033">
        <v>48.8</v>
      </c>
      <c r="AC18" s="89">
        <v>54.11</v>
      </c>
      <c r="AD18" s="1033"/>
      <c r="AE18" s="89"/>
      <c r="AF18" s="1033"/>
      <c r="AG18" s="89"/>
      <c r="AH18" s="1033"/>
      <c r="AI18" s="89"/>
      <c r="AJ18" s="1033"/>
      <c r="AK18" s="89"/>
      <c r="AL18" s="1033"/>
      <c r="AM18" s="89"/>
      <c r="AN18" s="1033"/>
      <c r="AO18" s="89"/>
      <c r="AP18" s="1033"/>
      <c r="AQ18" s="89"/>
      <c r="AR18" s="1033"/>
      <c r="AS18" s="89"/>
      <c r="AT18" s="1033"/>
      <c r="AU18" s="89"/>
      <c r="AV18" s="1086">
        <f t="shared" si="0"/>
        <v>48.91</v>
      </c>
      <c r="AW18" s="1087">
        <f t="shared" si="0"/>
        <v>54.11</v>
      </c>
      <c r="AX18" s="1088"/>
      <c r="AY18" s="1032"/>
      <c r="AZ18" s="577">
        <f t="shared" si="1"/>
        <v>48.91</v>
      </c>
      <c r="BA18" s="672">
        <f t="shared" si="1"/>
        <v>54.11</v>
      </c>
    </row>
    <row r="19" spans="1:53" ht="14.25" hidden="1" x14ac:dyDescent="0.3">
      <c r="A19" s="1103"/>
      <c r="B19" s="1054"/>
      <c r="C19" s="89"/>
      <c r="D19" s="1033"/>
      <c r="E19" s="89"/>
      <c r="F19" s="1033"/>
      <c r="G19" s="89"/>
      <c r="H19" s="1033"/>
      <c r="I19" s="89"/>
      <c r="J19" s="1033"/>
      <c r="K19" s="89"/>
      <c r="L19" s="1033"/>
      <c r="M19" s="89"/>
      <c r="N19" s="1033"/>
      <c r="O19" s="89"/>
      <c r="P19" s="1033"/>
      <c r="Q19" s="89"/>
      <c r="R19" s="1033"/>
      <c r="S19" s="89"/>
      <c r="T19" s="1033"/>
      <c r="U19" s="89"/>
      <c r="V19" s="1033"/>
      <c r="W19" s="89"/>
      <c r="X19" s="1033"/>
      <c r="Y19" s="89"/>
      <c r="Z19" s="1033"/>
      <c r="AA19" s="89"/>
      <c r="AB19" s="1033"/>
      <c r="AC19" s="89"/>
      <c r="AD19" s="1033"/>
      <c r="AE19" s="89"/>
      <c r="AF19" s="1033"/>
      <c r="AG19" s="89"/>
      <c r="AH19" s="1033"/>
      <c r="AI19" s="89"/>
      <c r="AJ19" s="1033"/>
      <c r="AK19" s="89"/>
      <c r="AL19" s="1033"/>
      <c r="AM19" s="89"/>
      <c r="AN19" s="1033"/>
      <c r="AO19" s="89"/>
      <c r="AP19" s="1033"/>
      <c r="AQ19" s="89"/>
      <c r="AR19" s="1033"/>
      <c r="AS19" s="89"/>
      <c r="AT19" s="1033"/>
      <c r="AU19" s="89"/>
      <c r="AV19" s="1086">
        <f t="shared" si="0"/>
        <v>0</v>
      </c>
      <c r="AW19" s="1087">
        <f t="shared" si="0"/>
        <v>0</v>
      </c>
      <c r="AX19" s="1088"/>
      <c r="AY19" s="1032"/>
      <c r="AZ19" s="577">
        <f t="shared" si="1"/>
        <v>0</v>
      </c>
      <c r="BA19" s="672">
        <f t="shared" si="1"/>
        <v>0</v>
      </c>
    </row>
    <row r="20" spans="1:53" ht="14.25" x14ac:dyDescent="0.3">
      <c r="A20" s="408" t="s">
        <v>377</v>
      </c>
      <c r="B20" s="1049"/>
      <c r="C20" s="89"/>
      <c r="D20" s="1033"/>
      <c r="E20" s="89"/>
      <c r="F20" s="1033"/>
      <c r="G20" s="89"/>
      <c r="H20" s="1033"/>
      <c r="I20" s="861"/>
      <c r="J20" s="1104"/>
      <c r="K20" s="89"/>
      <c r="L20" s="1033"/>
      <c r="M20" s="89"/>
      <c r="N20" s="1033"/>
      <c r="O20" s="89"/>
      <c r="P20" s="1033"/>
      <c r="Q20" s="89"/>
      <c r="R20" s="1033"/>
      <c r="S20" s="89"/>
      <c r="T20" s="1033"/>
      <c r="U20" s="89"/>
      <c r="V20" s="1033"/>
      <c r="W20" s="89"/>
      <c r="X20" s="1033"/>
      <c r="Y20" s="89"/>
      <c r="Z20" s="1033"/>
      <c r="AA20" s="89"/>
      <c r="AB20" s="1033"/>
      <c r="AC20" s="89"/>
      <c r="AD20" s="1033"/>
      <c r="AE20" s="89"/>
      <c r="AF20" s="1033"/>
      <c r="AG20" s="89"/>
      <c r="AH20" s="1033"/>
      <c r="AI20" s="89"/>
      <c r="AJ20" s="1033"/>
      <c r="AK20" s="89"/>
      <c r="AL20" s="1033"/>
      <c r="AM20" s="89"/>
      <c r="AN20" s="1033"/>
      <c r="AO20" s="89"/>
      <c r="AP20" s="1033"/>
      <c r="AQ20" s="89"/>
      <c r="AR20" s="1033"/>
      <c r="AS20" s="89"/>
      <c r="AT20" s="1033"/>
      <c r="AU20" s="89"/>
      <c r="AV20" s="1086">
        <f t="shared" si="0"/>
        <v>0</v>
      </c>
      <c r="AW20" s="1087">
        <f t="shared" si="0"/>
        <v>0</v>
      </c>
      <c r="AX20" s="1088"/>
      <c r="AY20" s="1032"/>
      <c r="AZ20" s="577">
        <f t="shared" si="1"/>
        <v>0</v>
      </c>
      <c r="BA20" s="672">
        <f t="shared" si="1"/>
        <v>0</v>
      </c>
    </row>
    <row r="21" spans="1:53" s="74" customFormat="1" ht="14.25" x14ac:dyDescent="0.3">
      <c r="A21" s="408" t="s">
        <v>56</v>
      </c>
      <c r="B21" s="1049">
        <v>24383</v>
      </c>
      <c r="C21" s="1105">
        <f>C17</f>
        <v>21777</v>
      </c>
      <c r="D21" s="1106">
        <f>D17</f>
        <v>2465</v>
      </c>
      <c r="E21" s="1057">
        <f>E17</f>
        <v>1997</v>
      </c>
      <c r="F21" s="1107">
        <f>F17</f>
        <v>2861</v>
      </c>
      <c r="G21" s="1057">
        <f>G17</f>
        <v>1524</v>
      </c>
      <c r="H21" s="1058">
        <v>9527</v>
      </c>
      <c r="I21" s="1057">
        <f t="shared" ref="I21:Q21" si="4">I17</f>
        <v>13003</v>
      </c>
      <c r="J21" s="1107">
        <f t="shared" si="4"/>
        <v>4390</v>
      </c>
      <c r="K21" s="1057">
        <f t="shared" si="4"/>
        <v>4433</v>
      </c>
      <c r="L21" s="1107">
        <f t="shared" si="4"/>
        <v>16646</v>
      </c>
      <c r="M21" s="1057">
        <f t="shared" si="4"/>
        <v>11361</v>
      </c>
      <c r="N21" s="1107">
        <f t="shared" si="4"/>
        <v>2562</v>
      </c>
      <c r="O21" s="1057">
        <f t="shared" si="4"/>
        <v>3263</v>
      </c>
      <c r="P21" s="1107">
        <f t="shared" si="4"/>
        <v>3128</v>
      </c>
      <c r="Q21" s="1057">
        <f t="shared" si="4"/>
        <v>5392</v>
      </c>
      <c r="R21" s="1107">
        <f>R17</f>
        <v>8769</v>
      </c>
      <c r="S21" s="1057">
        <f>S17</f>
        <v>6684</v>
      </c>
      <c r="T21" s="1058">
        <v>4163</v>
      </c>
      <c r="U21" s="1057">
        <f>U17</f>
        <v>3391</v>
      </c>
      <c r="V21" s="1058">
        <v>24051</v>
      </c>
      <c r="W21" s="1057">
        <v>50495</v>
      </c>
      <c r="X21" s="1058">
        <v>106309</v>
      </c>
      <c r="Y21" s="1057">
        <v>48662</v>
      </c>
      <c r="Z21" s="1058">
        <v>8759</v>
      </c>
      <c r="AA21" s="1057">
        <f>AA17</f>
        <v>10195</v>
      </c>
      <c r="AB21" s="1058">
        <v>7935</v>
      </c>
      <c r="AC21" s="1057">
        <v>35019</v>
      </c>
      <c r="AD21" s="1058">
        <v>7304</v>
      </c>
      <c r="AE21" s="1057">
        <v>7506</v>
      </c>
      <c r="AF21" s="1058">
        <v>38428</v>
      </c>
      <c r="AG21" s="1057">
        <v>29887</v>
      </c>
      <c r="AH21" s="1107">
        <f>AH17</f>
        <v>9532</v>
      </c>
      <c r="AI21" s="1227">
        <f>AI17</f>
        <v>6940</v>
      </c>
      <c r="AJ21" s="1058">
        <v>14595</v>
      </c>
      <c r="AK21" s="1057">
        <v>9399</v>
      </c>
      <c r="AL21" s="1058"/>
      <c r="AM21" s="1057"/>
      <c r="AN21" s="1107">
        <f>AN17</f>
        <v>233282</v>
      </c>
      <c r="AO21" s="1227">
        <f>AO17</f>
        <v>445541</v>
      </c>
      <c r="AP21" s="1058">
        <v>13832</v>
      </c>
      <c r="AQ21" s="1057">
        <f>AQ17</f>
        <v>7806.08</v>
      </c>
      <c r="AR21" s="1058"/>
      <c r="AS21" s="1057"/>
      <c r="AT21" s="1058">
        <v>15217</v>
      </c>
      <c r="AU21" s="1057">
        <f>AU17</f>
        <v>15730</v>
      </c>
      <c r="AV21" s="1086">
        <f t="shared" si="0"/>
        <v>558138</v>
      </c>
      <c r="AW21" s="1087">
        <f t="shared" si="0"/>
        <v>740005.08</v>
      </c>
      <c r="AX21" s="1088">
        <v>1663195.99</v>
      </c>
      <c r="AY21" s="1053">
        <v>1673926.52</v>
      </c>
      <c r="AZ21" s="577">
        <f t="shared" si="1"/>
        <v>2221333.9900000002</v>
      </c>
      <c r="BA21" s="672">
        <f t="shared" si="1"/>
        <v>2413931.6</v>
      </c>
    </row>
    <row r="22" spans="1:53" ht="14.25" x14ac:dyDescent="0.3">
      <c r="A22" s="408" t="s">
        <v>57</v>
      </c>
      <c r="B22" s="1049"/>
      <c r="C22" s="1089"/>
      <c r="D22" s="1090"/>
      <c r="E22" s="89"/>
      <c r="F22" s="1033"/>
      <c r="G22" s="1089"/>
      <c r="H22" s="1090"/>
      <c r="I22" s="89"/>
      <c r="J22" s="1033"/>
      <c r="K22" s="89"/>
      <c r="L22" s="1033"/>
      <c r="M22" s="89"/>
      <c r="N22" s="1033"/>
      <c r="O22" s="89"/>
      <c r="P22" s="1033"/>
      <c r="Q22" s="89"/>
      <c r="R22" s="1033"/>
      <c r="S22" s="89"/>
      <c r="T22" s="1033"/>
      <c r="U22" s="89"/>
      <c r="V22" s="1033">
        <v>22</v>
      </c>
      <c r="W22" s="89">
        <v>38</v>
      </c>
      <c r="X22" s="1033">
        <v>30</v>
      </c>
      <c r="Y22" s="89">
        <v>43</v>
      </c>
      <c r="Z22" s="1033"/>
      <c r="AA22" s="89"/>
      <c r="AB22" s="1033"/>
      <c r="AC22" s="89"/>
      <c r="AD22" s="1033"/>
      <c r="AE22" s="89"/>
      <c r="AF22" s="1033"/>
      <c r="AG22" s="89"/>
      <c r="AH22" s="1033"/>
      <c r="AI22" s="89"/>
      <c r="AJ22" s="1033">
        <v>31</v>
      </c>
      <c r="AK22" s="89">
        <v>30</v>
      </c>
      <c r="AL22" s="1033"/>
      <c r="AM22" s="89"/>
      <c r="AN22" s="1033"/>
      <c r="AO22" s="89"/>
      <c r="AP22" s="1033"/>
      <c r="AQ22" s="89"/>
      <c r="AR22" s="1033"/>
      <c r="AS22" s="89"/>
      <c r="AT22" s="1033"/>
      <c r="AU22" s="89"/>
      <c r="AV22" s="1086">
        <f t="shared" si="0"/>
        <v>83</v>
      </c>
      <c r="AW22" s="1087">
        <f t="shared" si="0"/>
        <v>111</v>
      </c>
      <c r="AX22" s="1088">
        <v>11632.16</v>
      </c>
      <c r="AY22" s="1032">
        <v>13958.63</v>
      </c>
      <c r="AZ22" s="577">
        <f t="shared" si="1"/>
        <v>11715.16</v>
      </c>
      <c r="BA22" s="672">
        <f t="shared" si="1"/>
        <v>14069.63</v>
      </c>
    </row>
    <row r="23" spans="1:53" s="1001" customFormat="1" ht="13.5" x14ac:dyDescent="0.25">
      <c r="A23" s="1108" t="s">
        <v>378</v>
      </c>
      <c r="B23" s="1109">
        <v>24383</v>
      </c>
      <c r="C23" s="1110">
        <f t="shared" ref="C23:Q23" si="5">C17</f>
        <v>21777</v>
      </c>
      <c r="D23" s="1111">
        <f t="shared" si="5"/>
        <v>2465</v>
      </c>
      <c r="E23" s="1110">
        <f t="shared" si="5"/>
        <v>1997</v>
      </c>
      <c r="F23" s="1111">
        <f t="shared" si="5"/>
        <v>2861</v>
      </c>
      <c r="G23" s="1110">
        <f t="shared" si="5"/>
        <v>1524</v>
      </c>
      <c r="H23" s="1111">
        <f t="shared" si="5"/>
        <v>9527</v>
      </c>
      <c r="I23" s="1110">
        <f t="shared" si="5"/>
        <v>13003</v>
      </c>
      <c r="J23" s="1111">
        <f t="shared" si="5"/>
        <v>4390</v>
      </c>
      <c r="K23" s="1110">
        <f t="shared" si="5"/>
        <v>4433</v>
      </c>
      <c r="L23" s="1111">
        <f t="shared" si="5"/>
        <v>16646</v>
      </c>
      <c r="M23" s="1110">
        <f t="shared" si="5"/>
        <v>11361</v>
      </c>
      <c r="N23" s="1111">
        <f t="shared" si="5"/>
        <v>2562</v>
      </c>
      <c r="O23" s="1110">
        <f t="shared" si="5"/>
        <v>3263</v>
      </c>
      <c r="P23" s="1111">
        <f t="shared" si="5"/>
        <v>3128</v>
      </c>
      <c r="Q23" s="1110">
        <f t="shared" si="5"/>
        <v>5392</v>
      </c>
      <c r="R23" s="1111">
        <f>R17</f>
        <v>8769</v>
      </c>
      <c r="S23" s="1110">
        <f>S17</f>
        <v>6684</v>
      </c>
      <c r="T23" s="1111">
        <v>4163</v>
      </c>
      <c r="U23" s="1110">
        <f>U17</f>
        <v>3391</v>
      </c>
      <c r="V23" s="1111">
        <f>V17</f>
        <v>24073</v>
      </c>
      <c r="W23" s="1110">
        <f>W17</f>
        <v>50533</v>
      </c>
      <c r="X23" s="1111">
        <f>X17</f>
        <v>106339</v>
      </c>
      <c r="Y23" s="1110">
        <f>Y17</f>
        <v>48705</v>
      </c>
      <c r="Z23" s="1111">
        <v>8759</v>
      </c>
      <c r="AA23" s="1110">
        <f>AA17</f>
        <v>10195</v>
      </c>
      <c r="AB23" s="1111">
        <v>7935</v>
      </c>
      <c r="AC23" s="1110">
        <f>AC17</f>
        <v>35019.03</v>
      </c>
      <c r="AD23" s="1111">
        <v>7304</v>
      </c>
      <c r="AE23" s="1110">
        <v>7506</v>
      </c>
      <c r="AF23" s="1111">
        <v>38428</v>
      </c>
      <c r="AG23" s="1110">
        <v>29887</v>
      </c>
      <c r="AH23" s="1111">
        <f>AH17</f>
        <v>9532</v>
      </c>
      <c r="AI23" s="1110">
        <f>AI17</f>
        <v>6940</v>
      </c>
      <c r="AJ23" s="1111">
        <v>14626</v>
      </c>
      <c r="AK23" s="1110">
        <v>9429</v>
      </c>
      <c r="AL23" s="1111"/>
      <c r="AM23" s="1110"/>
      <c r="AN23" s="1111">
        <f>AN17</f>
        <v>233282</v>
      </c>
      <c r="AO23" s="1110">
        <f>AO17</f>
        <v>445541</v>
      </c>
      <c r="AP23" s="1111">
        <v>13832</v>
      </c>
      <c r="AQ23" s="1110">
        <f>AQ17</f>
        <v>7806.08</v>
      </c>
      <c r="AR23" s="1111">
        <f>AR17</f>
        <v>7790</v>
      </c>
      <c r="AS23" s="1110">
        <f>AS17</f>
        <v>10343</v>
      </c>
      <c r="AT23" s="1111">
        <v>15217</v>
      </c>
      <c r="AU23" s="1112">
        <f>AU17</f>
        <v>15730</v>
      </c>
      <c r="AV23" s="1113">
        <f t="shared" si="0"/>
        <v>566011</v>
      </c>
      <c r="AW23" s="1114">
        <f t="shared" si="0"/>
        <v>750459.11</v>
      </c>
      <c r="AX23" s="1111">
        <v>1674828.15</v>
      </c>
      <c r="AY23" s="1115">
        <f>AY17</f>
        <v>1687885.15</v>
      </c>
      <c r="AZ23" s="1109">
        <f t="shared" si="1"/>
        <v>2240839.15</v>
      </c>
      <c r="BA23" s="1110">
        <f t="shared" si="1"/>
        <v>2438344.2599999998</v>
      </c>
    </row>
    <row r="24" spans="1:53" ht="14.25" x14ac:dyDescent="0.3">
      <c r="A24" s="408" t="s">
        <v>379</v>
      </c>
      <c r="B24" s="1049"/>
      <c r="C24" s="89"/>
      <c r="D24" s="1033"/>
      <c r="E24" s="89"/>
      <c r="F24" s="1033"/>
      <c r="G24" s="89"/>
      <c r="H24" s="1033"/>
      <c r="I24" s="89"/>
      <c r="J24" s="1033"/>
      <c r="K24" s="89"/>
      <c r="L24" s="1033"/>
      <c r="M24" s="89"/>
      <c r="N24" s="1033"/>
      <c r="O24" s="89"/>
      <c r="P24" s="1033"/>
      <c r="Q24" s="89"/>
      <c r="R24" s="1033"/>
      <c r="S24" s="89"/>
      <c r="T24" s="1033"/>
      <c r="U24" s="89"/>
      <c r="V24" s="1033"/>
      <c r="W24" s="89"/>
      <c r="X24" s="1033"/>
      <c r="Y24" s="89"/>
      <c r="Z24" s="1033"/>
      <c r="AA24" s="89"/>
      <c r="AB24" s="1033"/>
      <c r="AC24" s="89"/>
      <c r="AD24" s="1033"/>
      <c r="AE24" s="89"/>
      <c r="AF24" s="1033"/>
      <c r="AG24" s="89"/>
      <c r="AH24" s="1033"/>
      <c r="AI24" s="89"/>
      <c r="AJ24" s="1033"/>
      <c r="AK24" s="89"/>
      <c r="AL24" s="1033"/>
      <c r="AM24" s="89"/>
      <c r="AN24" s="1033"/>
      <c r="AO24" s="89"/>
      <c r="AP24" s="1033"/>
      <c r="AQ24" s="89"/>
      <c r="AR24" s="1033"/>
      <c r="AS24" s="89"/>
      <c r="AT24" s="1033"/>
      <c r="AU24" s="89"/>
      <c r="AV24" s="1086">
        <f t="shared" si="0"/>
        <v>0</v>
      </c>
      <c r="AW24" s="1087">
        <f t="shared" si="0"/>
        <v>0</v>
      </c>
      <c r="AX24" s="1088"/>
      <c r="AY24" s="1032"/>
      <c r="AZ24" s="577">
        <f t="shared" si="1"/>
        <v>0</v>
      </c>
      <c r="BA24" s="672">
        <f t="shared" si="1"/>
        <v>0</v>
      </c>
    </row>
    <row r="25" spans="1:53" ht="14.25" x14ac:dyDescent="0.3">
      <c r="A25" s="1103" t="s">
        <v>0</v>
      </c>
      <c r="B25" s="1054"/>
      <c r="C25" s="1116"/>
      <c r="D25" s="1117"/>
      <c r="E25" s="89"/>
      <c r="F25" s="1033"/>
      <c r="G25" s="89"/>
      <c r="H25" s="1033"/>
      <c r="I25" s="89"/>
      <c r="J25" s="1033"/>
      <c r="K25" s="89"/>
      <c r="L25" s="1033"/>
      <c r="M25" s="89"/>
      <c r="N25" s="1033"/>
      <c r="O25" s="89"/>
      <c r="P25" s="1033"/>
      <c r="Q25" s="89"/>
      <c r="R25" s="1033"/>
      <c r="S25" s="89"/>
      <c r="T25" s="1033"/>
      <c r="U25" s="89"/>
      <c r="V25" s="1033"/>
      <c r="W25" s="89"/>
      <c r="X25" s="1033"/>
      <c r="Y25" s="89"/>
      <c r="Z25" s="1033"/>
      <c r="AA25" s="89"/>
      <c r="AB25" s="1033"/>
      <c r="AC25" s="89"/>
      <c r="AD25" s="1033"/>
      <c r="AE25" s="89"/>
      <c r="AF25" s="1033"/>
      <c r="AG25" s="89"/>
      <c r="AH25" s="1033"/>
      <c r="AI25" s="89"/>
      <c r="AJ25" s="1033"/>
      <c r="AK25" s="89"/>
      <c r="AL25" s="1033"/>
      <c r="AM25" s="89"/>
      <c r="AN25" s="1033"/>
      <c r="AO25" s="89"/>
      <c r="AP25" s="1033"/>
      <c r="AQ25" s="89"/>
      <c r="AR25" s="1033"/>
      <c r="AS25" s="89"/>
      <c r="AT25" s="1033"/>
      <c r="AU25" s="89"/>
      <c r="AV25" s="1086">
        <f t="shared" si="0"/>
        <v>0</v>
      </c>
      <c r="AW25" s="1087">
        <f t="shared" si="0"/>
        <v>0</v>
      </c>
      <c r="AX25" s="1088"/>
      <c r="AY25" s="1032"/>
      <c r="AZ25" s="577">
        <f t="shared" si="1"/>
        <v>0</v>
      </c>
      <c r="BA25" s="672">
        <f t="shared" si="1"/>
        <v>0</v>
      </c>
    </row>
    <row r="26" spans="1:53" ht="14.25" x14ac:dyDescent="0.3">
      <c r="A26" s="1103" t="s">
        <v>380</v>
      </c>
      <c r="B26" s="1054"/>
      <c r="C26" s="1091"/>
      <c r="D26" s="1092"/>
      <c r="E26" s="89"/>
      <c r="F26" s="1033"/>
      <c r="G26" s="1091"/>
      <c r="H26" s="1092"/>
      <c r="I26" s="89"/>
      <c r="J26" s="1033"/>
      <c r="K26" s="89"/>
      <c r="L26" s="1033"/>
      <c r="M26" s="89"/>
      <c r="N26" s="1033"/>
      <c r="O26" s="89"/>
      <c r="P26" s="1033"/>
      <c r="Q26" s="89"/>
      <c r="R26" s="1033"/>
      <c r="S26" s="89"/>
      <c r="T26" s="1033"/>
      <c r="U26" s="89"/>
      <c r="V26" s="1033"/>
      <c r="W26" s="89"/>
      <c r="X26" s="1033"/>
      <c r="Y26" s="89"/>
      <c r="Z26" s="1033"/>
      <c r="AA26" s="89"/>
      <c r="AB26" s="1033"/>
      <c r="AC26" s="89"/>
      <c r="AD26" s="1033">
        <v>273</v>
      </c>
      <c r="AE26" s="89">
        <v>253</v>
      </c>
      <c r="AF26" s="1033"/>
      <c r="AG26" s="89"/>
      <c r="AH26" s="1033"/>
      <c r="AI26" s="89"/>
      <c r="AJ26" s="1033"/>
      <c r="AK26" s="89"/>
      <c r="AL26" s="1033"/>
      <c r="AM26" s="89"/>
      <c r="AN26" s="1033"/>
      <c r="AO26" s="89"/>
      <c r="AP26" s="1033"/>
      <c r="AQ26" s="89"/>
      <c r="AR26" s="1033">
        <v>6</v>
      </c>
      <c r="AS26" s="89">
        <v>21</v>
      </c>
      <c r="AT26" s="1033"/>
      <c r="AU26" s="89"/>
      <c r="AV26" s="1086">
        <f t="shared" si="0"/>
        <v>279</v>
      </c>
      <c r="AW26" s="1087">
        <f t="shared" si="0"/>
        <v>274</v>
      </c>
      <c r="AX26" s="1088"/>
      <c r="AY26" s="1032"/>
      <c r="AZ26" s="577">
        <f t="shared" si="1"/>
        <v>279</v>
      </c>
      <c r="BA26" s="672">
        <f t="shared" si="1"/>
        <v>274</v>
      </c>
    </row>
    <row r="27" spans="1:53" ht="14.25" x14ac:dyDescent="0.3">
      <c r="A27" s="1103" t="s">
        <v>381</v>
      </c>
      <c r="B27" s="1054"/>
      <c r="C27" s="1089"/>
      <c r="D27" s="1090"/>
      <c r="E27" s="89"/>
      <c r="F27" s="1033"/>
      <c r="G27" s="1089"/>
      <c r="H27" s="1090"/>
      <c r="I27" s="89"/>
      <c r="J27" s="1033"/>
      <c r="K27" s="89"/>
      <c r="L27" s="1033"/>
      <c r="M27" s="89"/>
      <c r="N27" s="1033"/>
      <c r="O27" s="89"/>
      <c r="P27" s="1033"/>
      <c r="Q27" s="89"/>
      <c r="R27" s="1033"/>
      <c r="S27" s="89"/>
      <c r="T27" s="1033"/>
      <c r="U27" s="89"/>
      <c r="V27" s="1033"/>
      <c r="W27" s="89"/>
      <c r="X27" s="1033"/>
      <c r="Y27" s="89"/>
      <c r="Z27" s="1033"/>
      <c r="AA27" s="89"/>
      <c r="AB27" s="1033"/>
      <c r="AC27" s="89"/>
      <c r="AD27" s="1033">
        <v>828</v>
      </c>
      <c r="AE27" s="89">
        <v>733</v>
      </c>
      <c r="AF27" s="1033"/>
      <c r="AG27" s="89"/>
      <c r="AH27" s="1033"/>
      <c r="AI27" s="89"/>
      <c r="AJ27" s="1033"/>
      <c r="AK27" s="89"/>
      <c r="AL27" s="1033"/>
      <c r="AM27" s="89"/>
      <c r="AN27" s="1033"/>
      <c r="AO27" s="89"/>
      <c r="AP27" s="1033"/>
      <c r="AQ27" s="89"/>
      <c r="AR27" s="1033"/>
      <c r="AS27" s="89"/>
      <c r="AT27" s="1033"/>
      <c r="AU27" s="89"/>
      <c r="AV27" s="1086">
        <f t="shared" si="0"/>
        <v>828</v>
      </c>
      <c r="AW27" s="1087">
        <f t="shared" si="0"/>
        <v>733</v>
      </c>
      <c r="AX27" s="1088"/>
      <c r="AY27" s="1032"/>
      <c r="AZ27" s="577">
        <f t="shared" si="1"/>
        <v>828</v>
      </c>
      <c r="BA27" s="672">
        <f t="shared" si="1"/>
        <v>733</v>
      </c>
    </row>
    <row r="28" spans="1:53" s="1102" customFormat="1" ht="15" thickBot="1" x14ac:dyDescent="0.35">
      <c r="A28" s="1160" t="s">
        <v>382</v>
      </c>
      <c r="B28" s="1161">
        <v>1739</v>
      </c>
      <c r="C28" s="1162">
        <v>1439</v>
      </c>
      <c r="D28" s="1163"/>
      <c r="E28" s="1164"/>
      <c r="F28" s="1165">
        <v>525</v>
      </c>
      <c r="G28" s="1162">
        <v>325</v>
      </c>
      <c r="H28" s="1163">
        <v>1842</v>
      </c>
      <c r="I28" s="1164">
        <v>1583</v>
      </c>
      <c r="J28" s="1165"/>
      <c r="K28" s="1164"/>
      <c r="L28" s="1165">
        <v>326</v>
      </c>
      <c r="M28" s="1164">
        <v>661</v>
      </c>
      <c r="N28" s="1165">
        <v>245</v>
      </c>
      <c r="O28" s="1164">
        <v>263</v>
      </c>
      <c r="P28" s="1165">
        <v>306</v>
      </c>
      <c r="Q28" s="1164">
        <v>186</v>
      </c>
      <c r="R28" s="1165"/>
      <c r="S28" s="1164"/>
      <c r="T28" s="1165"/>
      <c r="U28" s="1164"/>
      <c r="V28" s="1165">
        <v>3387</v>
      </c>
      <c r="W28" s="1164">
        <v>6413</v>
      </c>
      <c r="X28" s="1165">
        <v>2207</v>
      </c>
      <c r="Y28" s="1164">
        <v>2157</v>
      </c>
      <c r="Z28" s="1165"/>
      <c r="AA28" s="1164"/>
      <c r="AB28" s="1165"/>
      <c r="AC28" s="1164"/>
      <c r="AD28" s="1165">
        <v>1246</v>
      </c>
      <c r="AE28" s="1164">
        <v>1097</v>
      </c>
      <c r="AF28" s="1165">
        <v>2744</v>
      </c>
      <c r="AG28" s="1164">
        <v>2511</v>
      </c>
      <c r="AH28" s="1165">
        <v>955</v>
      </c>
      <c r="AI28" s="1164">
        <v>613</v>
      </c>
      <c r="AJ28" s="1165">
        <v>955</v>
      </c>
      <c r="AK28" s="1164">
        <v>884</v>
      </c>
      <c r="AL28" s="1165"/>
      <c r="AM28" s="1164"/>
      <c r="AN28" s="1165">
        <v>403</v>
      </c>
      <c r="AO28" s="1164">
        <v>463</v>
      </c>
      <c r="AP28" s="1165">
        <v>199</v>
      </c>
      <c r="AQ28" s="1164">
        <v>139</v>
      </c>
      <c r="AR28" s="1165">
        <v>219</v>
      </c>
      <c r="AS28" s="1164">
        <v>217</v>
      </c>
      <c r="AT28" s="1165">
        <v>1986</v>
      </c>
      <c r="AU28" s="1164">
        <v>1862</v>
      </c>
      <c r="AV28" s="1166">
        <f t="shared" si="0"/>
        <v>19284</v>
      </c>
      <c r="AW28" s="1167">
        <f t="shared" si="0"/>
        <v>20813</v>
      </c>
      <c r="AX28" s="1163"/>
      <c r="AY28" s="1168"/>
      <c r="AZ28" s="1161">
        <f t="shared" si="1"/>
        <v>19284</v>
      </c>
      <c r="BA28" s="1162">
        <f t="shared" si="1"/>
        <v>20813</v>
      </c>
    </row>
    <row r="29" spans="1:53" s="937" customFormat="1" ht="15" thickBot="1" x14ac:dyDescent="0.35">
      <c r="A29" s="1118" t="s">
        <v>54</v>
      </c>
      <c r="B29" s="1119"/>
      <c r="C29" s="1120"/>
      <c r="D29" s="1121"/>
      <c r="E29" s="1122"/>
      <c r="F29" s="1123"/>
      <c r="G29" s="1122"/>
      <c r="H29" s="1123"/>
      <c r="I29" s="1122"/>
      <c r="J29" s="1123"/>
      <c r="K29" s="1122"/>
      <c r="L29" s="1123"/>
      <c r="M29" s="1122"/>
      <c r="N29" s="1123"/>
      <c r="O29" s="1122"/>
      <c r="P29" s="1123"/>
      <c r="Q29" s="1122"/>
      <c r="R29" s="1123"/>
      <c r="S29" s="1122"/>
      <c r="T29" s="1123"/>
      <c r="U29" s="1122"/>
      <c r="V29" s="1123"/>
      <c r="W29" s="1122"/>
      <c r="X29" s="1123"/>
      <c r="Y29" s="1122"/>
      <c r="Z29" s="1123"/>
      <c r="AA29" s="1122"/>
      <c r="AB29" s="1123"/>
      <c r="AC29" s="1122"/>
      <c r="AD29" s="1123">
        <v>2347</v>
      </c>
      <c r="AE29" s="1122">
        <v>2083</v>
      </c>
      <c r="AF29" s="1123"/>
      <c r="AG29" s="1122"/>
      <c r="AH29" s="1123"/>
      <c r="AI29" s="1122"/>
      <c r="AJ29" s="1123"/>
      <c r="AK29" s="1122"/>
      <c r="AL29" s="1123"/>
      <c r="AM29" s="1122"/>
      <c r="AN29" s="1123"/>
      <c r="AO29" s="1122"/>
      <c r="AP29" s="1123"/>
      <c r="AQ29" s="1122"/>
      <c r="AR29" s="1123">
        <v>225</v>
      </c>
      <c r="AS29" s="1122">
        <v>238</v>
      </c>
      <c r="AT29" s="1123"/>
      <c r="AU29" s="1122"/>
      <c r="AV29" s="1124">
        <f t="shared" si="0"/>
        <v>2572</v>
      </c>
      <c r="AW29" s="1125">
        <f t="shared" si="0"/>
        <v>2321</v>
      </c>
      <c r="AX29" s="1126"/>
      <c r="AY29" s="1127"/>
      <c r="AZ29" s="1128">
        <f t="shared" si="1"/>
        <v>2572</v>
      </c>
      <c r="BA29" s="1129">
        <f t="shared" si="1"/>
        <v>2321</v>
      </c>
    </row>
  </sheetData>
  <mergeCells count="26">
    <mergeCell ref="B1:C1"/>
    <mergeCell ref="D1:E1"/>
    <mergeCell ref="F1:G1"/>
    <mergeCell ref="H1:I1"/>
    <mergeCell ref="J1:K1"/>
    <mergeCell ref="X1:Y1"/>
    <mergeCell ref="Z1:AA1"/>
    <mergeCell ref="AB1:AC1"/>
    <mergeCell ref="AD1:AE1"/>
    <mergeCell ref="L1:M1"/>
    <mergeCell ref="N1:O1"/>
    <mergeCell ref="P1:Q1"/>
    <mergeCell ref="R1:S1"/>
    <mergeCell ref="T1:U1"/>
    <mergeCell ref="V1:W1"/>
    <mergeCell ref="AF1:AG1"/>
    <mergeCell ref="AH1:AI1"/>
    <mergeCell ref="AX1:AY1"/>
    <mergeCell ref="AZ1:BA1"/>
    <mergeCell ref="AL1:AM1"/>
    <mergeCell ref="AN1:AO1"/>
    <mergeCell ref="AP1:AQ1"/>
    <mergeCell ref="AR1:AS1"/>
    <mergeCell ref="AT1:AU1"/>
    <mergeCell ref="AV1:AW1"/>
    <mergeCell ref="AJ1:AK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27"/>
  <sheetViews>
    <sheetView workbookViewId="0">
      <pane xSplit="1" topLeftCell="B1" activePane="topRight" state="frozen"/>
      <selection pane="topRight" activeCell="N4" sqref="N4"/>
    </sheetView>
  </sheetViews>
  <sheetFormatPr defaultRowHeight="15" x14ac:dyDescent="0.25"/>
  <cols>
    <col min="1" max="1" width="35.7109375" style="1293" customWidth="1"/>
    <col min="2" max="2" width="10.42578125" style="1294" customWidth="1"/>
    <col min="3" max="3" width="11.85546875" style="1294" customWidth="1"/>
    <col min="4" max="4" width="12.5703125" style="1294" customWidth="1"/>
    <col min="5" max="5" width="10.5703125" style="1294" customWidth="1"/>
    <col min="6" max="6" width="11.42578125" style="1294" customWidth="1"/>
    <col min="7" max="7" width="10.28515625" style="1294" customWidth="1"/>
    <col min="8" max="10" width="10.7109375" style="1294" customWidth="1"/>
    <col min="11" max="11" width="11" style="1294" customWidth="1"/>
  </cols>
  <sheetData>
    <row r="1" spans="1:11" ht="18.75" thickBot="1" x14ac:dyDescent="0.3">
      <c r="A1" s="1367" t="s">
        <v>449</v>
      </c>
      <c r="B1" s="1368"/>
      <c r="C1" s="1368"/>
      <c r="D1" s="1368"/>
      <c r="E1" s="1368"/>
      <c r="F1" s="1368"/>
      <c r="G1" s="1368"/>
      <c r="H1" s="1368"/>
      <c r="I1" s="1368"/>
      <c r="J1" s="1368"/>
      <c r="K1" s="1368"/>
    </row>
    <row r="2" spans="1:11" s="164" customFormat="1" ht="18.75" thickBot="1" x14ac:dyDescent="0.4">
      <c r="A2" s="1369" t="s">
        <v>417</v>
      </c>
      <c r="B2" s="1371" t="s">
        <v>418</v>
      </c>
      <c r="C2" s="1372"/>
      <c r="D2" s="1372"/>
      <c r="E2" s="1372"/>
      <c r="F2" s="1372"/>
      <c r="G2" s="1373" t="s">
        <v>419</v>
      </c>
      <c r="H2" s="1374"/>
      <c r="I2" s="1374"/>
      <c r="J2" s="1374"/>
      <c r="K2" s="1375"/>
    </row>
    <row r="3" spans="1:11" ht="36.75" thickBot="1" x14ac:dyDescent="0.3">
      <c r="A3" s="1370"/>
      <c r="B3" s="1287" t="s">
        <v>420</v>
      </c>
      <c r="C3" s="1288" t="s">
        <v>421</v>
      </c>
      <c r="D3" s="1288" t="s">
        <v>422</v>
      </c>
      <c r="E3" s="1288" t="s">
        <v>423</v>
      </c>
      <c r="F3" s="1289" t="s">
        <v>424</v>
      </c>
      <c r="G3" s="1287" t="s">
        <v>420</v>
      </c>
      <c r="H3" s="1288" t="s">
        <v>421</v>
      </c>
      <c r="I3" s="1288" t="s">
        <v>422</v>
      </c>
      <c r="J3" s="1288" t="s">
        <v>423</v>
      </c>
      <c r="K3" s="1288" t="s">
        <v>424</v>
      </c>
    </row>
    <row r="4" spans="1:11" ht="17.25" thickBot="1" x14ac:dyDescent="0.35">
      <c r="A4" s="1290" t="s">
        <v>425</v>
      </c>
      <c r="B4" s="1269">
        <v>74.86</v>
      </c>
      <c r="C4" s="1269">
        <v>56.61</v>
      </c>
      <c r="D4" s="1269">
        <v>55.91</v>
      </c>
      <c r="E4" s="1269">
        <v>48.23</v>
      </c>
      <c r="F4" s="1270">
        <v>38.06</v>
      </c>
      <c r="G4" s="1271">
        <v>82.83</v>
      </c>
      <c r="H4" s="1272">
        <v>67.55</v>
      </c>
      <c r="I4" s="1272">
        <v>66.05</v>
      </c>
      <c r="J4" s="1272">
        <v>62.74</v>
      </c>
      <c r="K4" s="1273">
        <v>50.24</v>
      </c>
    </row>
    <row r="5" spans="1:11" ht="17.25" thickBot="1" x14ac:dyDescent="0.35">
      <c r="A5" s="1290" t="s">
        <v>426</v>
      </c>
      <c r="B5" s="1269">
        <v>87</v>
      </c>
      <c r="C5" s="1269">
        <v>64</v>
      </c>
      <c r="D5" s="1269">
        <v>63</v>
      </c>
      <c r="E5" s="1269">
        <v>65</v>
      </c>
      <c r="F5" s="1270">
        <v>59</v>
      </c>
      <c r="G5" s="1271">
        <v>88</v>
      </c>
      <c r="H5" s="1272">
        <v>59</v>
      </c>
      <c r="I5" s="1272">
        <v>53</v>
      </c>
      <c r="J5" s="1272">
        <v>58</v>
      </c>
      <c r="K5" s="1273">
        <v>44</v>
      </c>
    </row>
    <row r="6" spans="1:11" ht="17.25" thickBot="1" x14ac:dyDescent="0.35">
      <c r="A6" s="1291" t="s">
        <v>427</v>
      </c>
      <c r="B6" s="1274">
        <v>64</v>
      </c>
      <c r="C6" s="1275">
        <v>43</v>
      </c>
      <c r="D6" s="1275">
        <v>46</v>
      </c>
      <c r="E6" s="1275">
        <v>46</v>
      </c>
      <c r="F6" s="1276">
        <v>39</v>
      </c>
      <c r="G6" s="1277">
        <v>75</v>
      </c>
      <c r="H6" s="1278">
        <v>48</v>
      </c>
      <c r="I6" s="1278">
        <v>49</v>
      </c>
      <c r="J6" s="1278">
        <v>48</v>
      </c>
      <c r="K6" s="1279">
        <v>45</v>
      </c>
    </row>
    <row r="7" spans="1:11" ht="17.25" thickBot="1" x14ac:dyDescent="0.35">
      <c r="A7" s="1290" t="s">
        <v>428</v>
      </c>
      <c r="B7" s="1269">
        <v>74.8</v>
      </c>
      <c r="C7" s="1269">
        <v>67.599999999999994</v>
      </c>
      <c r="D7" s="1269">
        <v>52.5</v>
      </c>
      <c r="E7" s="1269">
        <v>45.5</v>
      </c>
      <c r="F7" s="1270">
        <v>39.9</v>
      </c>
      <c r="G7" s="1271">
        <v>80.599999999999994</v>
      </c>
      <c r="H7" s="1272">
        <v>71.2</v>
      </c>
      <c r="I7" s="1272">
        <v>60.6</v>
      </c>
      <c r="J7" s="1272">
        <v>58.4</v>
      </c>
      <c r="K7" s="1273">
        <v>47.2</v>
      </c>
    </row>
    <row r="8" spans="1:11" ht="17.25" thickBot="1" x14ac:dyDescent="0.35">
      <c r="A8" s="1290" t="s">
        <v>429</v>
      </c>
      <c r="B8" s="1269">
        <v>63.6</v>
      </c>
      <c r="C8" s="1269">
        <v>35</v>
      </c>
      <c r="D8" s="1269">
        <v>38.4</v>
      </c>
      <c r="E8" s="1269">
        <v>41.3</v>
      </c>
      <c r="F8" s="1270">
        <v>35.6</v>
      </c>
      <c r="G8" s="1271">
        <v>70.599999999999994</v>
      </c>
      <c r="H8" s="1272">
        <v>55.3</v>
      </c>
      <c r="I8" s="1272">
        <v>45.6</v>
      </c>
      <c r="J8" s="1272">
        <v>48</v>
      </c>
      <c r="K8" s="1273">
        <v>40.799999999999997</v>
      </c>
    </row>
    <row r="9" spans="1:11" ht="17.25" thickBot="1" x14ac:dyDescent="0.35">
      <c r="A9" s="1290" t="s">
        <v>430</v>
      </c>
      <c r="B9" s="1280">
        <v>69.400000000000006</v>
      </c>
      <c r="C9" s="1280">
        <v>62.5</v>
      </c>
      <c r="D9" s="1280">
        <v>58.1</v>
      </c>
      <c r="E9" s="1280">
        <v>56.1</v>
      </c>
      <c r="F9" s="1281">
        <v>47.6</v>
      </c>
      <c r="G9" s="1271">
        <v>70.900000000000006</v>
      </c>
      <c r="H9" s="1272">
        <v>66.7</v>
      </c>
      <c r="I9" s="1272">
        <v>64.7</v>
      </c>
      <c r="J9" s="1272">
        <v>64.400000000000006</v>
      </c>
      <c r="K9" s="1273">
        <v>50.4</v>
      </c>
    </row>
    <row r="10" spans="1:11" ht="17.25" thickBot="1" x14ac:dyDescent="0.35">
      <c r="A10" s="1291" t="s">
        <v>431</v>
      </c>
      <c r="B10" s="1275">
        <v>71.27</v>
      </c>
      <c r="C10" s="1275">
        <v>59.94</v>
      </c>
      <c r="D10" s="1275">
        <v>62.16</v>
      </c>
      <c r="E10" s="1275">
        <v>44.69</v>
      </c>
      <c r="F10" s="1276">
        <v>49.82</v>
      </c>
      <c r="G10" s="1277">
        <v>72.53</v>
      </c>
      <c r="H10" s="1278">
        <v>60.49</v>
      </c>
      <c r="I10" s="1278">
        <v>63.16</v>
      </c>
      <c r="J10" s="1278">
        <v>43.37</v>
      </c>
      <c r="K10" s="1279">
        <v>47.6</v>
      </c>
    </row>
    <row r="11" spans="1:11" ht="17.25" thickBot="1" x14ac:dyDescent="0.35">
      <c r="A11" s="1290" t="s">
        <v>432</v>
      </c>
      <c r="B11" s="1280">
        <v>62.4</v>
      </c>
      <c r="C11" s="1280">
        <v>50.2</v>
      </c>
      <c r="D11" s="1280">
        <v>51.3</v>
      </c>
      <c r="E11" s="1280">
        <v>44.6</v>
      </c>
      <c r="F11" s="1281">
        <v>36.799999999999997</v>
      </c>
      <c r="G11" s="1271">
        <v>67.900000000000006</v>
      </c>
      <c r="H11" s="1272">
        <v>53.6</v>
      </c>
      <c r="I11" s="1272">
        <v>55.5</v>
      </c>
      <c r="J11" s="1272">
        <v>51.5</v>
      </c>
      <c r="K11" s="1273">
        <v>39</v>
      </c>
    </row>
    <row r="12" spans="1:11" ht="17.25" thickBot="1" x14ac:dyDescent="0.35">
      <c r="A12" s="1290" t="s">
        <v>433</v>
      </c>
      <c r="B12" s="1280">
        <v>62.3</v>
      </c>
      <c r="C12" s="1280">
        <v>48.4</v>
      </c>
      <c r="D12" s="1280">
        <v>43.1</v>
      </c>
      <c r="E12" s="1280">
        <v>35.299999999999997</v>
      </c>
      <c r="F12" s="1281">
        <v>31.3</v>
      </c>
      <c r="G12" s="1271">
        <v>71.900000000000006</v>
      </c>
      <c r="H12" s="1272">
        <v>61</v>
      </c>
      <c r="I12" s="1272">
        <v>51.9</v>
      </c>
      <c r="J12" s="1272">
        <v>35.299999999999997</v>
      </c>
      <c r="K12" s="1273">
        <v>31.9</v>
      </c>
    </row>
    <row r="13" spans="1:11" ht="17.25" thickBot="1" x14ac:dyDescent="0.35">
      <c r="A13" s="1291" t="s">
        <v>434</v>
      </c>
      <c r="B13" s="1275">
        <v>63.22</v>
      </c>
      <c r="C13" s="1275">
        <v>47.43</v>
      </c>
      <c r="D13" s="1275">
        <v>39.4</v>
      </c>
      <c r="E13" s="1275">
        <v>28.76</v>
      </c>
      <c r="F13" s="1276">
        <v>25.56</v>
      </c>
      <c r="G13" s="1277">
        <v>72.95</v>
      </c>
      <c r="H13" s="1278">
        <v>50.61</v>
      </c>
      <c r="I13" s="1278">
        <v>37.21</v>
      </c>
      <c r="J13" s="1278">
        <v>27.67</v>
      </c>
      <c r="K13" s="1279">
        <v>20.079999999999998</v>
      </c>
    </row>
    <row r="14" spans="1:11" ht="17.25" thickBot="1" x14ac:dyDescent="0.35">
      <c r="A14" s="1290" t="s">
        <v>435</v>
      </c>
      <c r="B14" s="1269">
        <v>81.319999999999993</v>
      </c>
      <c r="C14" s="1269">
        <v>68.430000000000007</v>
      </c>
      <c r="D14" s="1269">
        <v>61.23</v>
      </c>
      <c r="E14" s="1269">
        <v>54.46</v>
      </c>
      <c r="F14" s="1270">
        <v>47.58</v>
      </c>
      <c r="G14" s="1271">
        <v>83.36</v>
      </c>
      <c r="H14" s="1272">
        <v>75.94</v>
      </c>
      <c r="I14" s="1272">
        <v>70.31</v>
      </c>
      <c r="J14" s="1272">
        <v>63.72</v>
      </c>
      <c r="K14" s="1273">
        <v>52.27</v>
      </c>
    </row>
    <row r="15" spans="1:11" ht="23.25" customHeight="1" thickBot="1" x14ac:dyDescent="0.35">
      <c r="A15" s="1291" t="s">
        <v>436</v>
      </c>
      <c r="B15" s="1275">
        <v>76.3</v>
      </c>
      <c r="C15" s="1275">
        <v>66.7</v>
      </c>
      <c r="D15" s="1275">
        <v>61.1</v>
      </c>
      <c r="E15" s="1275">
        <v>55.4</v>
      </c>
      <c r="F15" s="1276">
        <v>45.5</v>
      </c>
      <c r="G15" s="1277">
        <v>82.7</v>
      </c>
      <c r="H15" s="1278">
        <v>73.900000000000006</v>
      </c>
      <c r="I15" s="1278">
        <v>70.099999999999994</v>
      </c>
      <c r="J15" s="1278">
        <v>62</v>
      </c>
      <c r="K15" s="1279">
        <v>61.5</v>
      </c>
    </row>
    <row r="16" spans="1:11" ht="17.25" thickBot="1" x14ac:dyDescent="0.35">
      <c r="A16" s="1290" t="s">
        <v>437</v>
      </c>
      <c r="B16" s="1269">
        <v>61.44</v>
      </c>
      <c r="C16" s="1269">
        <v>51.55</v>
      </c>
      <c r="D16" s="1269">
        <v>51.59</v>
      </c>
      <c r="E16" s="1269">
        <v>49.61</v>
      </c>
      <c r="F16" s="1270">
        <v>36.130000000000003</v>
      </c>
      <c r="G16" s="1271">
        <v>72.5</v>
      </c>
      <c r="H16" s="1272">
        <v>63.86</v>
      </c>
      <c r="I16" s="1272">
        <v>57.54</v>
      </c>
      <c r="J16" s="1272">
        <v>53.11</v>
      </c>
      <c r="K16" s="1273">
        <v>39.39</v>
      </c>
    </row>
    <row r="17" spans="1:11" ht="17.25" thickBot="1" x14ac:dyDescent="0.35">
      <c r="A17" s="1291" t="s">
        <v>438</v>
      </c>
      <c r="B17" s="1275">
        <v>71.239999999999995</v>
      </c>
      <c r="C17" s="1275">
        <v>62.85</v>
      </c>
      <c r="D17" s="1275">
        <v>52.88</v>
      </c>
      <c r="E17" s="1275">
        <v>44.53</v>
      </c>
      <c r="F17" s="1276">
        <v>39.78</v>
      </c>
      <c r="G17" s="1277">
        <v>80.62</v>
      </c>
      <c r="H17" s="1278">
        <v>69.680000000000007</v>
      </c>
      <c r="I17" s="1278">
        <v>60.35</v>
      </c>
      <c r="J17" s="1278">
        <v>56.32</v>
      </c>
      <c r="K17" s="1279">
        <v>45.47</v>
      </c>
    </row>
    <row r="18" spans="1:11" ht="17.25" thickBot="1" x14ac:dyDescent="0.35">
      <c r="A18" s="1290" t="s">
        <v>439</v>
      </c>
      <c r="B18" s="1280">
        <v>76.8</v>
      </c>
      <c r="C18" s="1280">
        <v>59.3</v>
      </c>
      <c r="D18" s="1280">
        <v>60.7</v>
      </c>
      <c r="E18" s="1280">
        <v>57</v>
      </c>
      <c r="F18" s="1281">
        <v>48</v>
      </c>
      <c r="G18" s="1271">
        <v>81.5</v>
      </c>
      <c r="H18" s="1272">
        <v>65.5</v>
      </c>
      <c r="I18" s="1272">
        <v>63.4</v>
      </c>
      <c r="J18" s="1272">
        <v>58.9</v>
      </c>
      <c r="K18" s="1273">
        <v>47.2</v>
      </c>
    </row>
    <row r="19" spans="1:11" ht="17.25" thickBot="1" x14ac:dyDescent="0.35">
      <c r="A19" s="1291" t="s">
        <v>440</v>
      </c>
      <c r="B19" s="1275">
        <v>78</v>
      </c>
      <c r="C19" s="1275">
        <v>64</v>
      </c>
      <c r="D19" s="1275">
        <v>58</v>
      </c>
      <c r="E19" s="1275">
        <v>53</v>
      </c>
      <c r="F19" s="1276">
        <v>49</v>
      </c>
      <c r="G19" s="1277">
        <v>77</v>
      </c>
      <c r="H19" s="1278">
        <v>62</v>
      </c>
      <c r="I19" s="1278">
        <v>58</v>
      </c>
      <c r="J19" s="1278">
        <v>54</v>
      </c>
      <c r="K19" s="1279">
        <v>50</v>
      </c>
    </row>
    <row r="20" spans="1:11" ht="17.25" thickBot="1" x14ac:dyDescent="0.35">
      <c r="A20" s="1290" t="s">
        <v>441</v>
      </c>
      <c r="B20" s="1280">
        <v>71.680000000000007</v>
      </c>
      <c r="C20" s="1280">
        <v>62.23</v>
      </c>
      <c r="D20" s="1280">
        <v>56.82</v>
      </c>
      <c r="E20" s="1280">
        <v>50.37</v>
      </c>
      <c r="F20" s="1281">
        <v>43</v>
      </c>
      <c r="G20" s="1271">
        <v>76.069999999999993</v>
      </c>
      <c r="H20" s="1272">
        <v>59.5</v>
      </c>
      <c r="I20" s="1272">
        <v>55.32</v>
      </c>
      <c r="J20" s="1272">
        <v>47.86</v>
      </c>
      <c r="K20" s="1273">
        <v>44.79</v>
      </c>
    </row>
    <row r="21" spans="1:11" ht="17.25" thickBot="1" x14ac:dyDescent="0.35">
      <c r="A21" s="1290" t="s">
        <v>442</v>
      </c>
      <c r="B21" s="1269">
        <v>68.400000000000006</v>
      </c>
      <c r="C21" s="1269">
        <v>53.9</v>
      </c>
      <c r="D21" s="1269">
        <v>51.7</v>
      </c>
      <c r="E21" s="1269">
        <v>47.7</v>
      </c>
      <c r="F21" s="1270">
        <v>41.3</v>
      </c>
      <c r="G21" s="1271">
        <v>74</v>
      </c>
      <c r="H21" s="1272">
        <v>56.4</v>
      </c>
      <c r="I21" s="1272">
        <v>53.3</v>
      </c>
      <c r="J21" s="1272">
        <v>50</v>
      </c>
      <c r="K21" s="1273">
        <v>41.6</v>
      </c>
    </row>
    <row r="22" spans="1:11" ht="21" customHeight="1" thickBot="1" x14ac:dyDescent="0.35">
      <c r="A22" s="1290" t="s">
        <v>443</v>
      </c>
      <c r="B22" s="1280"/>
      <c r="C22" s="1280"/>
      <c r="D22" s="1280"/>
      <c r="E22" s="1280"/>
      <c r="F22" s="1281"/>
      <c r="G22" s="1271"/>
      <c r="H22" s="1272"/>
      <c r="I22" s="1272"/>
      <c r="J22" s="1272"/>
      <c r="K22" s="1273"/>
    </row>
    <row r="23" spans="1:11" ht="17.25" thickBot="1" x14ac:dyDescent="0.35">
      <c r="A23" s="1291" t="s">
        <v>444</v>
      </c>
      <c r="B23" s="1275">
        <v>73.19</v>
      </c>
      <c r="C23" s="1275">
        <v>63.02</v>
      </c>
      <c r="D23" s="1275">
        <v>60.32</v>
      </c>
      <c r="E23" s="1275">
        <v>56.3</v>
      </c>
      <c r="F23" s="1276">
        <v>43.52</v>
      </c>
      <c r="G23" s="1277">
        <v>80.8</v>
      </c>
      <c r="H23" s="1278">
        <v>71.53</v>
      </c>
      <c r="I23" s="1278">
        <v>69.67</v>
      </c>
      <c r="J23" s="1278">
        <v>66.14</v>
      </c>
      <c r="K23" s="1279">
        <v>50.75</v>
      </c>
    </row>
    <row r="24" spans="1:11" ht="17.25" thickBot="1" x14ac:dyDescent="0.35">
      <c r="A24" s="1290" t="s">
        <v>445</v>
      </c>
      <c r="B24" s="1280">
        <v>38.1</v>
      </c>
      <c r="C24" s="1280">
        <v>32.4</v>
      </c>
      <c r="D24" s="1280">
        <v>23.2</v>
      </c>
      <c r="E24" s="1280">
        <v>14.7</v>
      </c>
      <c r="F24" s="1281">
        <v>17.899999999999999</v>
      </c>
      <c r="G24" s="1271">
        <v>50.1</v>
      </c>
      <c r="H24" s="1272">
        <v>41.7</v>
      </c>
      <c r="I24" s="1272">
        <v>37.5</v>
      </c>
      <c r="J24" s="1272">
        <v>27.2</v>
      </c>
      <c r="K24" s="1273">
        <v>26.1</v>
      </c>
    </row>
    <row r="25" spans="1:11" ht="29.25" thickBot="1" x14ac:dyDescent="0.35">
      <c r="A25" s="1291" t="s">
        <v>446</v>
      </c>
      <c r="B25" s="1275">
        <v>65.89</v>
      </c>
      <c r="C25" s="1275">
        <v>52.11</v>
      </c>
      <c r="D25" s="1275">
        <v>49.77</v>
      </c>
      <c r="E25" s="1275">
        <v>43.34</v>
      </c>
      <c r="F25" s="1276">
        <v>29.43</v>
      </c>
      <c r="G25" s="1277">
        <v>67.91</v>
      </c>
      <c r="H25" s="1278">
        <v>52.5</v>
      </c>
      <c r="I25" s="1278">
        <v>52.79</v>
      </c>
      <c r="J25" s="1278">
        <v>47.99</v>
      </c>
      <c r="K25" s="1279">
        <v>30.71</v>
      </c>
    </row>
    <row r="26" spans="1:11" ht="17.25" thickBot="1" x14ac:dyDescent="0.35">
      <c r="A26" s="1290" t="s">
        <v>447</v>
      </c>
      <c r="B26" s="1269">
        <v>80.09</v>
      </c>
      <c r="C26" s="1269">
        <v>74.959999999999994</v>
      </c>
      <c r="D26" s="1269">
        <v>54.26</v>
      </c>
      <c r="E26" s="1269">
        <v>60.25</v>
      </c>
      <c r="F26" s="1270">
        <v>54.87</v>
      </c>
      <c r="G26" s="1271">
        <v>85.83</v>
      </c>
      <c r="H26" s="1272">
        <v>79.099999999999994</v>
      </c>
      <c r="I26" s="1272">
        <v>72.61</v>
      </c>
      <c r="J26" s="1272">
        <v>66.22</v>
      </c>
      <c r="K26" s="1273">
        <v>63.51</v>
      </c>
    </row>
    <row r="27" spans="1:11" ht="17.25" thickBot="1" x14ac:dyDescent="0.35">
      <c r="A27" s="1292" t="s">
        <v>448</v>
      </c>
      <c r="B27" s="1282">
        <v>63.85</v>
      </c>
      <c r="C27" s="1282">
        <v>56.04</v>
      </c>
      <c r="D27" s="1282">
        <v>51.71</v>
      </c>
      <c r="E27" s="1282">
        <v>48.96</v>
      </c>
      <c r="F27" s="1283">
        <v>47.51</v>
      </c>
      <c r="G27" s="1284">
        <v>75.75</v>
      </c>
      <c r="H27" s="1285">
        <v>67.78</v>
      </c>
      <c r="I27" s="1285">
        <v>64.34</v>
      </c>
      <c r="J27" s="1285">
        <v>60.82</v>
      </c>
      <c r="K27" s="1286">
        <v>58.99</v>
      </c>
    </row>
  </sheetData>
  <mergeCells count="4">
    <mergeCell ref="A1:K1"/>
    <mergeCell ref="A2:A3"/>
    <mergeCell ref="B2:F2"/>
    <mergeCell ref="G2:K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BA16"/>
  <sheetViews>
    <sheetView workbookViewId="0">
      <pane xSplit="1" topLeftCell="B1" activePane="topRight" state="frozen"/>
      <selection pane="topRight" activeCell="A3" sqref="A3"/>
    </sheetView>
  </sheetViews>
  <sheetFormatPr defaultRowHeight="14.25" x14ac:dyDescent="0.3"/>
  <cols>
    <col min="1" max="1" width="33.140625" style="11" bestFit="1" customWidth="1"/>
    <col min="2" max="54" width="10.7109375" style="11" customWidth="1"/>
    <col min="55" max="16384" width="9.140625" style="11"/>
  </cols>
  <sheetData>
    <row r="1" spans="1:53" x14ac:dyDescent="0.3">
      <c r="A1" s="1376" t="s">
        <v>109</v>
      </c>
      <c r="B1" s="1376"/>
      <c r="C1" s="1376"/>
      <c r="D1" s="1376"/>
      <c r="E1" s="1376"/>
      <c r="F1" s="1376"/>
      <c r="G1" s="1376"/>
      <c r="H1" s="1376"/>
      <c r="I1" s="1376"/>
      <c r="J1" s="1376"/>
      <c r="K1" s="1376"/>
      <c r="L1" s="1376"/>
      <c r="M1" s="1376"/>
      <c r="N1" s="1376"/>
      <c r="O1" s="1376"/>
      <c r="P1" s="1376"/>
      <c r="Q1" s="1376"/>
      <c r="R1" s="1376"/>
      <c r="S1" s="1376"/>
      <c r="T1" s="1376"/>
      <c r="U1" s="1376"/>
      <c r="V1" s="1376"/>
      <c r="W1" s="1376"/>
      <c r="X1" s="1376"/>
      <c r="Y1" s="1376"/>
      <c r="Z1" s="1376"/>
      <c r="AA1" s="1376"/>
      <c r="AB1" s="1376"/>
      <c r="AC1" s="1376"/>
      <c r="AD1" s="1376"/>
      <c r="AE1" s="1376"/>
      <c r="AF1" s="1376"/>
      <c r="AG1" s="1376"/>
      <c r="AH1" s="1376"/>
      <c r="AI1" s="1376"/>
      <c r="AJ1" s="1376"/>
      <c r="AK1" s="1376"/>
      <c r="AL1" s="1376"/>
      <c r="AM1" s="1376"/>
      <c r="AN1" s="1376"/>
      <c r="AO1" s="1376"/>
      <c r="AP1" s="1376"/>
      <c r="AQ1" s="1376"/>
      <c r="AR1" s="1376"/>
      <c r="AS1" s="1376"/>
      <c r="AT1" s="1376"/>
      <c r="AU1" s="1376"/>
      <c r="AV1" s="1376"/>
      <c r="AW1" s="1376"/>
      <c r="AX1" s="1376"/>
      <c r="AY1" s="1376"/>
      <c r="AZ1" s="1376"/>
      <c r="BA1" s="689"/>
    </row>
    <row r="2" spans="1:53" ht="16.5" thickBot="1" x14ac:dyDescent="0.4">
      <c r="A2" s="1377" t="s">
        <v>398</v>
      </c>
      <c r="B2" s="1377"/>
      <c r="C2" s="1377"/>
      <c r="D2" s="1377"/>
      <c r="E2" s="1377"/>
      <c r="F2" s="1377"/>
      <c r="G2" s="1377"/>
      <c r="H2" s="1377"/>
      <c r="I2" s="1377"/>
      <c r="J2" s="1377"/>
      <c r="K2" s="1377"/>
      <c r="L2" s="1377"/>
      <c r="M2" s="1377"/>
      <c r="N2" s="1377"/>
      <c r="O2" s="1377"/>
      <c r="P2" s="1377"/>
      <c r="Q2" s="1377"/>
      <c r="R2" s="1377"/>
      <c r="S2" s="1377"/>
      <c r="T2" s="1377"/>
      <c r="U2" s="1377"/>
      <c r="V2" s="1377"/>
      <c r="W2" s="1377"/>
      <c r="X2" s="1377"/>
      <c r="Y2" s="1377"/>
      <c r="Z2" s="1377"/>
      <c r="AA2" s="1377"/>
      <c r="AB2" s="1377"/>
      <c r="AC2" s="1377"/>
      <c r="AD2" s="1377"/>
      <c r="AE2" s="1377"/>
      <c r="AF2" s="1377"/>
      <c r="AG2" s="1377"/>
      <c r="AH2" s="1377"/>
      <c r="AI2" s="1377"/>
      <c r="AJ2" s="1377"/>
      <c r="AK2" s="1377"/>
      <c r="AL2" s="1377"/>
      <c r="AM2" s="1377"/>
      <c r="AN2" s="1377"/>
      <c r="AO2" s="1377"/>
      <c r="AP2" s="1377"/>
      <c r="AQ2" s="1377"/>
      <c r="AR2" s="1377"/>
      <c r="AS2" s="1377"/>
      <c r="AT2" s="1377"/>
      <c r="AU2" s="1377"/>
      <c r="AV2" s="1377"/>
      <c r="AW2" s="1377"/>
      <c r="AX2" s="1377"/>
      <c r="AY2" s="1377"/>
      <c r="AZ2" s="1377"/>
      <c r="BA2" s="690"/>
    </row>
    <row r="3" spans="1:53" ht="53.25" customHeight="1" thickBot="1" x14ac:dyDescent="0.4">
      <c r="A3" s="691" t="s">
        <v>110</v>
      </c>
      <c r="B3" s="1378" t="s">
        <v>159</v>
      </c>
      <c r="C3" s="1379"/>
      <c r="D3" s="1306" t="s">
        <v>267</v>
      </c>
      <c r="E3" s="1308"/>
      <c r="F3" s="1306" t="s">
        <v>161</v>
      </c>
      <c r="G3" s="1308"/>
      <c r="H3" s="1306" t="s">
        <v>162</v>
      </c>
      <c r="I3" s="1308"/>
      <c r="J3" s="1306" t="s">
        <v>261</v>
      </c>
      <c r="K3" s="1308"/>
      <c r="L3" s="1306" t="s">
        <v>164</v>
      </c>
      <c r="M3" s="1308"/>
      <c r="N3" s="1306" t="s">
        <v>315</v>
      </c>
      <c r="O3" s="1308"/>
      <c r="P3" s="1306" t="s">
        <v>181</v>
      </c>
      <c r="Q3" s="1308"/>
      <c r="R3" s="1306" t="s">
        <v>320</v>
      </c>
      <c r="S3" s="1308"/>
      <c r="T3" s="1306" t="s">
        <v>319</v>
      </c>
      <c r="U3" s="1308"/>
      <c r="V3" s="1306" t="s">
        <v>318</v>
      </c>
      <c r="W3" s="1308"/>
      <c r="X3" s="1306" t="s">
        <v>263</v>
      </c>
      <c r="Y3" s="1308"/>
      <c r="Z3" s="1306" t="s">
        <v>326</v>
      </c>
      <c r="AA3" s="1308"/>
      <c r="AB3" s="1306" t="s">
        <v>170</v>
      </c>
      <c r="AC3" s="1308"/>
      <c r="AD3" s="1304" t="s">
        <v>171</v>
      </c>
      <c r="AE3" s="1309"/>
      <c r="AF3" s="1306" t="s">
        <v>172</v>
      </c>
      <c r="AG3" s="1308"/>
      <c r="AH3" s="1306" t="s">
        <v>255</v>
      </c>
      <c r="AI3" s="1308"/>
      <c r="AJ3" s="1306" t="s">
        <v>174</v>
      </c>
      <c r="AK3" s="1308"/>
      <c r="AL3" s="1304" t="s">
        <v>175</v>
      </c>
      <c r="AM3" s="1309"/>
      <c r="AN3" s="1306" t="s">
        <v>176</v>
      </c>
      <c r="AO3" s="1308"/>
      <c r="AP3" s="1306" t="s">
        <v>177</v>
      </c>
      <c r="AQ3" s="1308"/>
      <c r="AR3" s="1306" t="s">
        <v>262</v>
      </c>
      <c r="AS3" s="1308"/>
      <c r="AT3" s="1306" t="s">
        <v>179</v>
      </c>
      <c r="AU3" s="1308"/>
      <c r="AV3" s="1343" t="s">
        <v>1</v>
      </c>
      <c r="AW3" s="1344"/>
      <c r="AX3" s="1304" t="s">
        <v>180</v>
      </c>
      <c r="AY3" s="1309"/>
      <c r="AZ3" s="1346" t="s">
        <v>2</v>
      </c>
      <c r="BA3" s="1347"/>
    </row>
    <row r="4" spans="1:53" s="500" customFormat="1" ht="41.25" thickBot="1" x14ac:dyDescent="0.3">
      <c r="A4" s="498"/>
      <c r="B4" s="499" t="s">
        <v>324</v>
      </c>
      <c r="C4" s="499" t="s">
        <v>387</v>
      </c>
      <c r="D4" s="499" t="s">
        <v>324</v>
      </c>
      <c r="E4" s="499" t="s">
        <v>387</v>
      </c>
      <c r="F4" s="499" t="s">
        <v>324</v>
      </c>
      <c r="G4" s="499" t="s">
        <v>387</v>
      </c>
      <c r="H4" s="499" t="s">
        <v>324</v>
      </c>
      <c r="I4" s="499" t="s">
        <v>387</v>
      </c>
      <c r="J4" s="499" t="s">
        <v>324</v>
      </c>
      <c r="K4" s="499" t="s">
        <v>387</v>
      </c>
      <c r="L4" s="499" t="s">
        <v>324</v>
      </c>
      <c r="M4" s="499" t="s">
        <v>387</v>
      </c>
      <c r="N4" s="499" t="s">
        <v>324</v>
      </c>
      <c r="O4" s="499" t="s">
        <v>387</v>
      </c>
      <c r="P4" s="499" t="s">
        <v>324</v>
      </c>
      <c r="Q4" s="499" t="s">
        <v>387</v>
      </c>
      <c r="R4" s="499" t="s">
        <v>324</v>
      </c>
      <c r="S4" s="499" t="s">
        <v>387</v>
      </c>
      <c r="T4" s="499" t="s">
        <v>324</v>
      </c>
      <c r="U4" s="499" t="s">
        <v>387</v>
      </c>
      <c r="V4" s="499" t="s">
        <v>324</v>
      </c>
      <c r="W4" s="499" t="s">
        <v>387</v>
      </c>
      <c r="X4" s="499" t="s">
        <v>324</v>
      </c>
      <c r="Y4" s="499" t="s">
        <v>387</v>
      </c>
      <c r="Z4" s="499" t="s">
        <v>324</v>
      </c>
      <c r="AA4" s="499" t="s">
        <v>387</v>
      </c>
      <c r="AB4" s="499" t="s">
        <v>324</v>
      </c>
      <c r="AC4" s="499" t="s">
        <v>387</v>
      </c>
      <c r="AD4" s="499" t="s">
        <v>324</v>
      </c>
      <c r="AE4" s="499" t="s">
        <v>387</v>
      </c>
      <c r="AF4" s="499" t="s">
        <v>324</v>
      </c>
      <c r="AG4" s="499" t="s">
        <v>387</v>
      </c>
      <c r="AH4" s="499" t="s">
        <v>324</v>
      </c>
      <c r="AI4" s="499" t="s">
        <v>387</v>
      </c>
      <c r="AJ4" s="499" t="s">
        <v>324</v>
      </c>
      <c r="AK4" s="499" t="s">
        <v>387</v>
      </c>
      <c r="AL4" s="499" t="s">
        <v>324</v>
      </c>
      <c r="AM4" s="499" t="s">
        <v>387</v>
      </c>
      <c r="AN4" s="499" t="s">
        <v>324</v>
      </c>
      <c r="AO4" s="499" t="s">
        <v>387</v>
      </c>
      <c r="AP4" s="499" t="s">
        <v>324</v>
      </c>
      <c r="AQ4" s="499" t="s">
        <v>387</v>
      </c>
      <c r="AR4" s="499" t="s">
        <v>324</v>
      </c>
      <c r="AS4" s="499" t="s">
        <v>387</v>
      </c>
      <c r="AT4" s="499" t="s">
        <v>324</v>
      </c>
      <c r="AU4" s="499" t="s">
        <v>387</v>
      </c>
      <c r="AV4" s="499" t="s">
        <v>324</v>
      </c>
      <c r="AW4" s="499" t="s">
        <v>387</v>
      </c>
      <c r="AX4" s="499" t="s">
        <v>324</v>
      </c>
      <c r="AY4" s="499" t="s">
        <v>387</v>
      </c>
      <c r="AZ4" s="499" t="s">
        <v>324</v>
      </c>
      <c r="BA4" s="1228" t="s">
        <v>387</v>
      </c>
    </row>
    <row r="5" spans="1:53" s="31" customFormat="1" ht="15" thickBot="1" x14ac:dyDescent="0.35">
      <c r="A5" s="195" t="s">
        <v>111</v>
      </c>
      <c r="B5" s="316">
        <v>5212159</v>
      </c>
      <c r="C5" s="316">
        <v>5813472</v>
      </c>
      <c r="D5" s="309">
        <v>315910</v>
      </c>
      <c r="E5" s="309">
        <v>360484</v>
      </c>
      <c r="F5" s="309">
        <v>1072325</v>
      </c>
      <c r="G5" s="309">
        <v>1112406</v>
      </c>
      <c r="H5" s="309">
        <v>6499600</v>
      </c>
      <c r="I5" s="309">
        <v>7206892</v>
      </c>
      <c r="J5" s="309">
        <v>948237.8</v>
      </c>
      <c r="K5" s="309">
        <v>1120137</v>
      </c>
      <c r="L5" s="309">
        <v>2202706</v>
      </c>
      <c r="M5" s="309">
        <v>2493101</v>
      </c>
      <c r="N5" s="309">
        <v>497725.37</v>
      </c>
      <c r="O5" s="309">
        <v>573830</v>
      </c>
      <c r="P5" s="309">
        <v>426158</v>
      </c>
      <c r="Q5" s="309">
        <v>521891</v>
      </c>
      <c r="R5" s="309">
        <v>1770182</v>
      </c>
      <c r="S5" s="309">
        <v>1955409</v>
      </c>
      <c r="T5" s="309">
        <v>536553</v>
      </c>
      <c r="U5" s="309">
        <v>622705</v>
      </c>
      <c r="V5" s="309">
        <v>16863365</v>
      </c>
      <c r="W5" s="309">
        <v>18259985</v>
      </c>
      <c r="X5" s="309">
        <v>21351650</v>
      </c>
      <c r="Y5" s="309">
        <v>22177769</v>
      </c>
      <c r="Z5" s="313">
        <v>1169340</v>
      </c>
      <c r="AA5" s="313">
        <v>1301598</v>
      </c>
      <c r="AB5" s="309">
        <v>1727915</v>
      </c>
      <c r="AC5" s="309">
        <v>1822730</v>
      </c>
      <c r="AD5" s="309">
        <v>4539933</v>
      </c>
      <c r="AE5" s="309">
        <v>4976000</v>
      </c>
      <c r="AF5" s="309"/>
      <c r="AG5" s="309">
        <v>10489091</v>
      </c>
      <c r="AH5" s="309">
        <v>2802469</v>
      </c>
      <c r="AI5" s="309">
        <v>3275615</v>
      </c>
      <c r="AJ5" s="309">
        <v>2406048</v>
      </c>
      <c r="AK5" s="309">
        <v>2641027</v>
      </c>
      <c r="AL5" s="306"/>
      <c r="AM5" s="692"/>
      <c r="AN5" s="305">
        <v>21920746.260000002</v>
      </c>
      <c r="AO5" s="305">
        <v>25107685</v>
      </c>
      <c r="AP5" s="301">
        <v>598974.91</v>
      </c>
      <c r="AQ5" s="301">
        <v>740353</v>
      </c>
      <c r="AR5" s="299">
        <v>1230242</v>
      </c>
      <c r="AS5" s="299">
        <v>1513780</v>
      </c>
      <c r="AT5" s="291">
        <v>4897661</v>
      </c>
      <c r="AU5" s="617">
        <v>5390174</v>
      </c>
      <c r="AV5" s="44">
        <f>SUM(B5+D5+F5+H5+J5+L5+N5+P5+R5+T5+V5+X5+Z5+AB5+AD5+AF5+AH5+AJ5+AL5+AN5+AP5+AR5+AT5)</f>
        <v>98989900.340000004</v>
      </c>
      <c r="AW5" s="44">
        <f>SUM(C5+E5+G5+I5+K5+M5+O5+Q5+S5+U5+W5+Y5+AA5+AC5+AE5+AG5+AI5+AK5+AM5+AO5+AQ5+AS5+AU5)</f>
        <v>119476134</v>
      </c>
      <c r="AX5" s="297">
        <v>353259675</v>
      </c>
      <c r="AY5" s="694">
        <v>383696953</v>
      </c>
      <c r="AZ5" s="700">
        <f t="shared" ref="AZ5:BA16" si="0">AV5+AX5</f>
        <v>452249575.34000003</v>
      </c>
      <c r="BA5" s="705">
        <f t="shared" si="0"/>
        <v>503173087</v>
      </c>
    </row>
    <row r="6" spans="1:53" s="31" customFormat="1" ht="15" thickBot="1" x14ac:dyDescent="0.35">
      <c r="A6" s="195" t="s">
        <v>112</v>
      </c>
      <c r="B6" s="317"/>
      <c r="C6" s="317"/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3"/>
      <c r="P6" s="303"/>
      <c r="Q6" s="303"/>
      <c r="R6" s="303"/>
      <c r="S6" s="303"/>
      <c r="T6" s="303"/>
      <c r="U6" s="303"/>
      <c r="V6" s="303"/>
      <c r="W6" s="303"/>
      <c r="X6" s="303"/>
      <c r="Y6" s="303"/>
      <c r="Z6" s="314"/>
      <c r="AA6" s="314"/>
      <c r="AB6" s="303"/>
      <c r="AC6" s="303"/>
      <c r="AD6" s="303"/>
      <c r="AE6" s="303"/>
      <c r="AF6" s="303"/>
      <c r="AG6" s="303"/>
      <c r="AH6" s="303"/>
      <c r="AI6" s="303"/>
      <c r="AJ6" s="303"/>
      <c r="AK6" s="303"/>
      <c r="AL6" s="307"/>
      <c r="AM6" s="307"/>
      <c r="AN6" s="303"/>
      <c r="AO6" s="303"/>
      <c r="AP6" s="302"/>
      <c r="AQ6" s="302"/>
      <c r="AR6" s="260"/>
      <c r="AS6" s="260"/>
      <c r="AT6" s="292"/>
      <c r="AU6" s="275"/>
      <c r="AV6" s="295">
        <f t="shared" ref="AV6:AV11" si="1">SUM(B6+D6+F6+H6+J6+L6+N6+P6+R6+T6+V6+X6+Z6+AB6+AD6+AF6+AH6+AJ6+AL6+AN6+AP6+AR6+AT6)</f>
        <v>0</v>
      </c>
      <c r="AW6" s="44">
        <f t="shared" ref="AW6:AW16" si="2">SUM(C6+E6+G6+I6+K6+M6+O6+Q6+S6+U6+W6+Y6+AA6+AC6+AE6+AG6+AI6+AK6+AM6+AO6+AQ6+AS6+AU6)</f>
        <v>0</v>
      </c>
      <c r="AX6" s="287"/>
      <c r="AY6" s="695"/>
      <c r="AZ6" s="25">
        <f t="shared" si="0"/>
        <v>0</v>
      </c>
      <c r="BA6" s="705">
        <f t="shared" si="0"/>
        <v>0</v>
      </c>
    </row>
    <row r="7" spans="1:53" s="31" customFormat="1" ht="15" thickBot="1" x14ac:dyDescent="0.35">
      <c r="A7" s="195" t="s">
        <v>113</v>
      </c>
      <c r="B7" s="318">
        <v>5211149</v>
      </c>
      <c r="C7" s="318">
        <v>5817260</v>
      </c>
      <c r="D7" s="310">
        <v>293334</v>
      </c>
      <c r="E7" s="310">
        <v>326850</v>
      </c>
      <c r="F7" s="310">
        <v>1037774</v>
      </c>
      <c r="G7" s="310">
        <v>1089536</v>
      </c>
      <c r="H7" s="310">
        <v>6405486</v>
      </c>
      <c r="I7" s="310">
        <v>7122345</v>
      </c>
      <c r="J7" s="310">
        <v>917454.49</v>
      </c>
      <c r="K7" s="310">
        <v>1091600</v>
      </c>
      <c r="L7" s="310">
        <v>2144790</v>
      </c>
      <c r="M7" s="310">
        <v>2409431</v>
      </c>
      <c r="N7" s="310">
        <v>489634.54</v>
      </c>
      <c r="O7" s="310">
        <v>551809</v>
      </c>
      <c r="P7" s="310">
        <v>424577</v>
      </c>
      <c r="Q7" s="310">
        <v>521645</v>
      </c>
      <c r="R7" s="310">
        <v>1730060</v>
      </c>
      <c r="S7" s="310">
        <v>1914872</v>
      </c>
      <c r="T7" s="310">
        <v>509830</v>
      </c>
      <c r="U7" s="310">
        <v>592212</v>
      </c>
      <c r="V7" s="310">
        <v>16789071</v>
      </c>
      <c r="W7" s="310">
        <v>17178060</v>
      </c>
      <c r="X7" s="310">
        <v>20846782.66</v>
      </c>
      <c r="Y7" s="310">
        <v>21574858</v>
      </c>
      <c r="Z7" s="314">
        <v>1152171</v>
      </c>
      <c r="AA7" s="314">
        <v>1274953</v>
      </c>
      <c r="AB7" s="310">
        <v>1675745</v>
      </c>
      <c r="AC7" s="310">
        <v>1767014</v>
      </c>
      <c r="AD7" s="312">
        <v>4359991</v>
      </c>
      <c r="AE7" s="312">
        <v>4965224</v>
      </c>
      <c r="AF7" s="310"/>
      <c r="AG7" s="310">
        <v>10075908</v>
      </c>
      <c r="AH7" s="310">
        <v>2746029</v>
      </c>
      <c r="AI7" s="310">
        <v>3194034</v>
      </c>
      <c r="AJ7" s="310">
        <v>2369578</v>
      </c>
      <c r="AK7" s="310">
        <v>2603102</v>
      </c>
      <c r="AL7" s="307"/>
      <c r="AM7" s="692"/>
      <c r="AN7" s="305">
        <v>21839913.890000001</v>
      </c>
      <c r="AO7" s="305">
        <v>25011330</v>
      </c>
      <c r="AP7" s="302">
        <v>594958.32999999996</v>
      </c>
      <c r="AQ7" s="302">
        <v>735021</v>
      </c>
      <c r="AR7" s="260">
        <v>1172920</v>
      </c>
      <c r="AS7" s="260">
        <v>1448523</v>
      </c>
      <c r="AT7" s="293">
        <v>4499711</v>
      </c>
      <c r="AU7" s="295">
        <v>5261441</v>
      </c>
      <c r="AV7" s="295">
        <f t="shared" si="1"/>
        <v>97210959.909999996</v>
      </c>
      <c r="AW7" s="44">
        <f t="shared" si="2"/>
        <v>116527028</v>
      </c>
      <c r="AX7" s="295">
        <v>335152178</v>
      </c>
      <c r="AY7" s="696">
        <v>363208622</v>
      </c>
      <c r="AZ7" s="25">
        <f t="shared" si="0"/>
        <v>432363137.90999997</v>
      </c>
      <c r="BA7" s="705">
        <f t="shared" si="0"/>
        <v>479735650</v>
      </c>
    </row>
    <row r="8" spans="1:53" s="31" customFormat="1" ht="15" thickBot="1" x14ac:dyDescent="0.35">
      <c r="A8" s="195" t="s">
        <v>114</v>
      </c>
      <c r="B8" s="317"/>
      <c r="C8" s="317"/>
      <c r="D8" s="303"/>
      <c r="E8" s="303"/>
      <c r="F8" s="303">
        <v>29817</v>
      </c>
      <c r="G8" s="303">
        <v>16939</v>
      </c>
      <c r="H8" s="303"/>
      <c r="I8" s="303"/>
      <c r="J8" s="303">
        <v>19498.52</v>
      </c>
      <c r="K8" s="303">
        <v>19351</v>
      </c>
      <c r="L8" s="303"/>
      <c r="M8" s="303"/>
      <c r="N8" s="303"/>
      <c r="O8" s="303"/>
      <c r="P8" s="303"/>
      <c r="Q8" s="303"/>
      <c r="R8" s="303"/>
      <c r="S8" s="303"/>
      <c r="T8" s="303"/>
      <c r="U8" s="303"/>
      <c r="V8" s="303"/>
      <c r="W8" s="303"/>
      <c r="X8" s="303">
        <v>403565.07</v>
      </c>
      <c r="Y8" s="303">
        <v>468083</v>
      </c>
      <c r="Z8" s="303"/>
      <c r="AA8" s="303"/>
      <c r="AB8" s="303">
        <v>28847</v>
      </c>
      <c r="AC8" s="303">
        <v>28567</v>
      </c>
      <c r="AD8" s="303">
        <v>157704</v>
      </c>
      <c r="AE8" s="303"/>
      <c r="AF8" s="303"/>
      <c r="AG8" s="303"/>
      <c r="AH8" s="303"/>
      <c r="AI8" s="303"/>
      <c r="AJ8" s="303"/>
      <c r="AK8" s="303"/>
      <c r="AL8" s="307"/>
      <c r="AM8" s="307"/>
      <c r="AN8" s="253"/>
      <c r="AO8" s="253"/>
      <c r="AP8" s="302"/>
      <c r="AQ8" s="302"/>
      <c r="AR8" s="260">
        <v>26444</v>
      </c>
      <c r="AS8" s="260">
        <v>33611</v>
      </c>
      <c r="AT8" s="292"/>
      <c r="AU8" s="275"/>
      <c r="AV8" s="295">
        <f t="shared" si="1"/>
        <v>665875.59000000008</v>
      </c>
      <c r="AW8" s="44">
        <f t="shared" si="2"/>
        <v>566551</v>
      </c>
      <c r="AX8" s="287">
        <v>16390</v>
      </c>
      <c r="AY8" s="695">
        <v>16403</v>
      </c>
      <c r="AZ8" s="25">
        <f t="shared" si="0"/>
        <v>682265.59000000008</v>
      </c>
      <c r="BA8" s="705">
        <f t="shared" si="0"/>
        <v>582954</v>
      </c>
    </row>
    <row r="9" spans="1:53" s="31" customFormat="1" ht="15" thickBot="1" x14ac:dyDescent="0.35">
      <c r="A9" s="290" t="s">
        <v>182</v>
      </c>
      <c r="B9" s="317">
        <v>1010</v>
      </c>
      <c r="C9" s="317">
        <v>-3788</v>
      </c>
      <c r="D9" s="303">
        <v>22576</v>
      </c>
      <c r="E9" s="303">
        <v>336634</v>
      </c>
      <c r="F9" s="303">
        <v>4735</v>
      </c>
      <c r="G9" s="303">
        <v>5931</v>
      </c>
      <c r="H9" s="303">
        <v>94114</v>
      </c>
      <c r="I9" s="303">
        <v>84546</v>
      </c>
      <c r="J9" s="303">
        <v>11284.79</v>
      </c>
      <c r="K9" s="303">
        <v>9186</v>
      </c>
      <c r="L9" s="303">
        <v>57915</v>
      </c>
      <c r="M9" s="303">
        <v>83670</v>
      </c>
      <c r="N9" s="303">
        <v>8090.83</v>
      </c>
      <c r="O9" s="303">
        <v>22021</v>
      </c>
      <c r="P9" s="303">
        <v>1581</v>
      </c>
      <c r="Q9" s="303">
        <v>246</v>
      </c>
      <c r="R9" s="303">
        <v>40122</v>
      </c>
      <c r="S9" s="303">
        <v>40536</v>
      </c>
      <c r="T9" s="303">
        <v>26724</v>
      </c>
      <c r="U9" s="303">
        <v>30493</v>
      </c>
      <c r="V9" s="303">
        <v>74294</v>
      </c>
      <c r="W9" s="303">
        <v>81925</v>
      </c>
      <c r="X9" s="303">
        <v>101303.26</v>
      </c>
      <c r="Y9" s="303">
        <v>134828</v>
      </c>
      <c r="Z9" s="303">
        <v>17170</v>
      </c>
      <c r="AA9" s="303">
        <v>26645</v>
      </c>
      <c r="AB9" s="303">
        <v>23323</v>
      </c>
      <c r="AC9" s="303">
        <v>27148</v>
      </c>
      <c r="AD9" s="303">
        <v>22238</v>
      </c>
      <c r="AE9" s="303">
        <v>10777</v>
      </c>
      <c r="AF9" s="303"/>
      <c r="AG9" s="303">
        <v>413183</v>
      </c>
      <c r="AH9" s="303">
        <v>56440</v>
      </c>
      <c r="AI9" s="303">
        <v>81581</v>
      </c>
      <c r="AJ9" s="303">
        <v>36470</v>
      </c>
      <c r="AK9" s="303">
        <v>37924</v>
      </c>
      <c r="AL9" s="307"/>
      <c r="AM9" s="692"/>
      <c r="AN9" s="305">
        <v>80832.37</v>
      </c>
      <c r="AO9" s="305">
        <v>96356</v>
      </c>
      <c r="AP9" s="302">
        <v>4016.58</v>
      </c>
      <c r="AQ9" s="302">
        <v>5332</v>
      </c>
      <c r="AR9" s="260">
        <v>30878</v>
      </c>
      <c r="AS9" s="260">
        <v>31646</v>
      </c>
      <c r="AT9" s="292">
        <v>97950</v>
      </c>
      <c r="AU9" s="275">
        <v>128733</v>
      </c>
      <c r="AV9" s="295">
        <f t="shared" si="1"/>
        <v>813067.83</v>
      </c>
      <c r="AW9" s="44">
        <f t="shared" si="2"/>
        <v>1685553</v>
      </c>
      <c r="AX9" s="287">
        <v>18091108</v>
      </c>
      <c r="AY9" s="695">
        <v>20471927</v>
      </c>
      <c r="AZ9" s="25">
        <f t="shared" si="0"/>
        <v>18904175.829999998</v>
      </c>
      <c r="BA9" s="705">
        <f t="shared" si="0"/>
        <v>22157480</v>
      </c>
    </row>
    <row r="10" spans="1:53" s="31" customFormat="1" ht="15" thickBot="1" x14ac:dyDescent="0.35">
      <c r="A10" s="195" t="s">
        <v>115</v>
      </c>
      <c r="B10" s="317">
        <v>249718</v>
      </c>
      <c r="C10" s="317">
        <v>293184</v>
      </c>
      <c r="D10" s="303">
        <v>21128</v>
      </c>
      <c r="E10" s="303">
        <v>15301</v>
      </c>
      <c r="F10" s="303">
        <v>62676</v>
      </c>
      <c r="G10" s="303">
        <v>55088</v>
      </c>
      <c r="H10" s="303">
        <v>1033972</v>
      </c>
      <c r="I10" s="303">
        <v>1025319</v>
      </c>
      <c r="J10" s="303">
        <v>66072.19</v>
      </c>
      <c r="K10" s="303">
        <v>75534</v>
      </c>
      <c r="L10" s="303">
        <v>112747</v>
      </c>
      <c r="M10" s="303">
        <v>106249</v>
      </c>
      <c r="N10" s="303">
        <v>76907.039999999994</v>
      </c>
      <c r="O10" s="303">
        <v>74029</v>
      </c>
      <c r="P10" s="303">
        <v>27974</v>
      </c>
      <c r="Q10" s="303">
        <v>36585</v>
      </c>
      <c r="R10" s="303">
        <v>102752</v>
      </c>
      <c r="S10" s="303">
        <v>109210</v>
      </c>
      <c r="T10" s="303">
        <v>9056</v>
      </c>
      <c r="U10" s="303">
        <v>21093</v>
      </c>
      <c r="V10" s="303">
        <v>911860</v>
      </c>
      <c r="W10" s="303">
        <v>933021</v>
      </c>
      <c r="X10" s="303">
        <v>1004293.05</v>
      </c>
      <c r="Y10" s="303">
        <v>970252</v>
      </c>
      <c r="Z10" s="314">
        <v>84980</v>
      </c>
      <c r="AA10" s="314">
        <v>91555</v>
      </c>
      <c r="AB10" s="303">
        <v>101732</v>
      </c>
      <c r="AC10" s="303">
        <v>107409</v>
      </c>
      <c r="AD10" s="303">
        <v>369423</v>
      </c>
      <c r="AE10" s="303">
        <v>452207</v>
      </c>
      <c r="AF10" s="303"/>
      <c r="AG10" s="303">
        <v>605852</v>
      </c>
      <c r="AH10" s="303">
        <v>143658</v>
      </c>
      <c r="AI10" s="303">
        <v>176374</v>
      </c>
      <c r="AJ10" s="303">
        <v>128210</v>
      </c>
      <c r="AK10" s="303">
        <v>142516</v>
      </c>
      <c r="AL10" s="307"/>
      <c r="AM10" s="692"/>
      <c r="AN10" s="305">
        <v>1021422.71</v>
      </c>
      <c r="AO10" s="305">
        <v>1158889</v>
      </c>
      <c r="AP10" s="302">
        <v>67852.91</v>
      </c>
      <c r="AQ10" s="302">
        <v>67060</v>
      </c>
      <c r="AR10" s="260">
        <v>70286</v>
      </c>
      <c r="AS10" s="260">
        <v>84168</v>
      </c>
      <c r="AT10" s="292">
        <v>205217</v>
      </c>
      <c r="AU10" s="275">
        <v>256277</v>
      </c>
      <c r="AV10" s="295">
        <f t="shared" si="1"/>
        <v>5871936.9000000004</v>
      </c>
      <c r="AW10" s="44">
        <f t="shared" si="2"/>
        <v>6857172</v>
      </c>
      <c r="AX10" s="275">
        <v>569392</v>
      </c>
      <c r="AY10" s="697">
        <v>884883</v>
      </c>
      <c r="AZ10" s="25">
        <f t="shared" si="0"/>
        <v>6441328.9000000004</v>
      </c>
      <c r="BA10" s="705">
        <f t="shared" si="0"/>
        <v>7742055</v>
      </c>
    </row>
    <row r="11" spans="1:53" s="31" customFormat="1" ht="15" thickBot="1" x14ac:dyDescent="0.35">
      <c r="A11" s="195" t="s">
        <v>112</v>
      </c>
      <c r="B11" s="317"/>
      <c r="C11" s="317"/>
      <c r="D11" s="303"/>
      <c r="E11" s="303"/>
      <c r="F11" s="303"/>
      <c r="G11" s="303"/>
      <c r="H11" s="303"/>
      <c r="I11" s="303"/>
      <c r="J11" s="303"/>
      <c r="K11" s="303"/>
      <c r="L11" s="303"/>
      <c r="M11" s="303"/>
      <c r="N11" s="303"/>
      <c r="O11" s="303"/>
      <c r="P11" s="303"/>
      <c r="Q11" s="303"/>
      <c r="R11" s="303"/>
      <c r="S11" s="303"/>
      <c r="T11" s="303"/>
      <c r="U11" s="303"/>
      <c r="V11" s="303"/>
      <c r="W11" s="303"/>
      <c r="X11" s="303"/>
      <c r="Y11" s="303"/>
      <c r="Z11" s="314"/>
      <c r="AA11" s="314"/>
      <c r="AB11" s="303"/>
      <c r="AC11" s="303"/>
      <c r="AD11" s="303"/>
      <c r="AE11" s="303"/>
      <c r="AF11" s="303"/>
      <c r="AG11" s="303"/>
      <c r="AH11" s="303"/>
      <c r="AI11" s="303"/>
      <c r="AJ11" s="303"/>
      <c r="AK11" s="303"/>
      <c r="AL11" s="307"/>
      <c r="AM11" s="307"/>
      <c r="AN11" s="253"/>
      <c r="AO11" s="253"/>
      <c r="AP11" s="302"/>
      <c r="AQ11" s="302"/>
      <c r="AR11" s="260"/>
      <c r="AS11" s="260"/>
      <c r="AT11" s="292"/>
      <c r="AU11" s="275"/>
      <c r="AV11" s="295">
        <f t="shared" si="1"/>
        <v>0</v>
      </c>
      <c r="AW11" s="44">
        <f t="shared" si="2"/>
        <v>0</v>
      </c>
      <c r="AX11" s="275"/>
      <c r="AY11" s="697"/>
      <c r="AZ11" s="25">
        <f t="shared" si="0"/>
        <v>0</v>
      </c>
      <c r="BA11" s="705">
        <f t="shared" si="0"/>
        <v>0</v>
      </c>
    </row>
    <row r="12" spans="1:53" s="31" customFormat="1" ht="15" thickBot="1" x14ac:dyDescent="0.35">
      <c r="A12" s="195" t="s">
        <v>116</v>
      </c>
      <c r="B12" s="317"/>
      <c r="C12" s="317"/>
      <c r="D12" s="303"/>
      <c r="E12" s="303"/>
      <c r="F12" s="303">
        <v>265</v>
      </c>
      <c r="G12" s="303">
        <v>491</v>
      </c>
      <c r="H12" s="303">
        <v>29683</v>
      </c>
      <c r="I12" s="303">
        <v>29940</v>
      </c>
      <c r="J12" s="303">
        <v>19150.310000000001</v>
      </c>
      <c r="K12" s="303">
        <v>18890</v>
      </c>
      <c r="L12" s="303"/>
      <c r="M12" s="303"/>
      <c r="N12" s="303"/>
      <c r="O12" s="303"/>
      <c r="P12" s="303"/>
      <c r="Q12" s="303"/>
      <c r="R12" s="303"/>
      <c r="S12" s="303"/>
      <c r="T12" s="303"/>
      <c r="U12" s="303"/>
      <c r="V12" s="303"/>
      <c r="W12" s="303"/>
      <c r="X12" s="303">
        <v>129361.38</v>
      </c>
      <c r="Y12" s="303">
        <v>1127</v>
      </c>
      <c r="Z12" s="314"/>
      <c r="AA12" s="314"/>
      <c r="AB12" s="303">
        <v>32054</v>
      </c>
      <c r="AC12" s="303">
        <v>48007</v>
      </c>
      <c r="AD12" s="303">
        <v>509</v>
      </c>
      <c r="AE12" s="303"/>
      <c r="AF12" s="303"/>
      <c r="AG12" s="303">
        <v>340972</v>
      </c>
      <c r="AH12" s="303"/>
      <c r="AI12" s="274"/>
      <c r="AJ12" s="274"/>
      <c r="AK12" s="274"/>
      <c r="AL12" s="307"/>
      <c r="AM12" s="307"/>
      <c r="AN12" s="253"/>
      <c r="AO12" s="253"/>
      <c r="AP12" s="302"/>
      <c r="AQ12" s="302"/>
      <c r="AR12" s="260">
        <v>12073</v>
      </c>
      <c r="AS12" s="260">
        <v>3158</v>
      </c>
      <c r="AT12" s="292"/>
      <c r="AU12" s="275"/>
      <c r="AV12" s="295">
        <f>SUM(B12+D12+F12+H12+J12+L12+N12+P12+R12+T12+V12+X12+Z12+AB12+AD12+AF12+AH12+AJ13+AL12+AN12+AP12+AR12+AT12)</f>
        <v>351305.69</v>
      </c>
      <c r="AW12" s="44">
        <f t="shared" si="2"/>
        <v>442585</v>
      </c>
      <c r="AX12" s="275"/>
      <c r="AY12" s="697"/>
      <c r="AZ12" s="25">
        <f t="shared" si="0"/>
        <v>351305.69</v>
      </c>
      <c r="BA12" s="705">
        <f t="shared" si="0"/>
        <v>442585</v>
      </c>
    </row>
    <row r="13" spans="1:53" s="31" customFormat="1" ht="15" thickBot="1" x14ac:dyDescent="0.35">
      <c r="A13" s="290" t="s">
        <v>183</v>
      </c>
      <c r="B13" s="317">
        <v>249718</v>
      </c>
      <c r="C13" s="317">
        <v>293184</v>
      </c>
      <c r="D13" s="303">
        <v>21128</v>
      </c>
      <c r="E13" s="303">
        <v>15301</v>
      </c>
      <c r="F13" s="303">
        <v>62411</v>
      </c>
      <c r="G13" s="303">
        <v>54596</v>
      </c>
      <c r="H13" s="303">
        <v>1004289</v>
      </c>
      <c r="I13" s="303">
        <v>995379</v>
      </c>
      <c r="J13" s="303">
        <v>46921.88</v>
      </c>
      <c r="K13" s="303">
        <v>56644</v>
      </c>
      <c r="L13" s="303">
        <v>112747</v>
      </c>
      <c r="M13" s="303">
        <v>106249</v>
      </c>
      <c r="N13" s="303">
        <v>76907.039999999994</v>
      </c>
      <c r="O13" s="303">
        <v>74029</v>
      </c>
      <c r="P13" s="303">
        <v>27974</v>
      </c>
      <c r="Q13" s="303">
        <v>36585</v>
      </c>
      <c r="R13" s="303">
        <v>102752</v>
      </c>
      <c r="S13" s="303">
        <v>109210</v>
      </c>
      <c r="T13" s="303">
        <v>9056</v>
      </c>
      <c r="U13" s="303">
        <v>21093</v>
      </c>
      <c r="V13" s="303">
        <v>911860</v>
      </c>
      <c r="W13" s="303">
        <v>933021</v>
      </c>
      <c r="X13" s="303">
        <v>874931.67</v>
      </c>
      <c r="Y13" s="303">
        <v>969125</v>
      </c>
      <c r="Z13" s="314">
        <v>84980</v>
      </c>
      <c r="AA13" s="314">
        <v>91555</v>
      </c>
      <c r="AB13" s="303">
        <v>69678</v>
      </c>
      <c r="AC13" s="303">
        <v>59402</v>
      </c>
      <c r="AD13" s="303">
        <v>368913</v>
      </c>
      <c r="AE13" s="303">
        <v>452207</v>
      </c>
      <c r="AF13" s="303"/>
      <c r="AG13" s="303">
        <v>264880</v>
      </c>
      <c r="AH13" s="303">
        <v>143658</v>
      </c>
      <c r="AI13" s="303">
        <v>176374</v>
      </c>
      <c r="AJ13" s="303">
        <v>128210</v>
      </c>
      <c r="AK13" s="303">
        <v>142516</v>
      </c>
      <c r="AL13" s="307"/>
      <c r="AM13" s="692"/>
      <c r="AN13" s="305">
        <v>1021422.71</v>
      </c>
      <c r="AO13" s="305">
        <v>1158889</v>
      </c>
      <c r="AP13" s="302">
        <v>67852.91</v>
      </c>
      <c r="AQ13" s="302">
        <v>67060</v>
      </c>
      <c r="AR13" s="260">
        <v>58213</v>
      </c>
      <c r="AS13" s="260">
        <v>81010</v>
      </c>
      <c r="AT13" s="292">
        <v>205217</v>
      </c>
      <c r="AU13" s="275">
        <v>256277</v>
      </c>
      <c r="AV13" s="295">
        <f>SUM(B13+D13+F13+H13+J13+L13+N13+P13+R13+T13+V13+X13+Z13+AB13+AD13+AF13+AH13+AJ13+AL13+AN13+AP13+AR13+AT13)</f>
        <v>5648840.21</v>
      </c>
      <c r="AW13" s="44">
        <f t="shared" si="2"/>
        <v>6414586</v>
      </c>
      <c r="AX13" s="287">
        <v>569392</v>
      </c>
      <c r="AY13" s="695">
        <v>884883</v>
      </c>
      <c r="AZ13" s="25">
        <f t="shared" si="0"/>
        <v>6218232.21</v>
      </c>
      <c r="BA13" s="705">
        <f t="shared" si="0"/>
        <v>7299469</v>
      </c>
    </row>
    <row r="14" spans="1:53" s="31" customFormat="1" ht="15" thickBot="1" x14ac:dyDescent="0.35">
      <c r="A14" s="195" t="s">
        <v>117</v>
      </c>
      <c r="B14" s="317">
        <v>250728</v>
      </c>
      <c r="C14" s="317">
        <v>289397</v>
      </c>
      <c r="D14" s="303">
        <v>43704</v>
      </c>
      <c r="E14" s="303">
        <v>48935</v>
      </c>
      <c r="F14" s="303">
        <v>67145</v>
      </c>
      <c r="G14" s="303">
        <v>60527</v>
      </c>
      <c r="H14" s="303">
        <v>1098403</v>
      </c>
      <c r="I14" s="303">
        <v>1079926</v>
      </c>
      <c r="J14" s="303">
        <v>58206.67</v>
      </c>
      <c r="K14" s="303">
        <v>65830</v>
      </c>
      <c r="L14" s="303">
        <v>170663</v>
      </c>
      <c r="M14" s="303">
        <v>189919</v>
      </c>
      <c r="N14" s="303">
        <v>84997.87</v>
      </c>
      <c r="O14" s="303">
        <v>96050</v>
      </c>
      <c r="P14" s="303">
        <v>29555</v>
      </c>
      <c r="Q14" s="303">
        <v>36831</v>
      </c>
      <c r="R14" s="303">
        <v>142875</v>
      </c>
      <c r="S14" s="303">
        <v>149746</v>
      </c>
      <c r="T14" s="303">
        <v>35780</v>
      </c>
      <c r="U14" s="303">
        <v>51585</v>
      </c>
      <c r="V14" s="303">
        <v>986154</v>
      </c>
      <c r="W14" s="303">
        <v>1014946</v>
      </c>
      <c r="X14" s="303">
        <v>976234.93</v>
      </c>
      <c r="Y14" s="303">
        <v>1103953</v>
      </c>
      <c r="Z14" s="303">
        <v>102149</v>
      </c>
      <c r="AA14" s="303">
        <v>118200</v>
      </c>
      <c r="AB14" s="303">
        <v>93001</v>
      </c>
      <c r="AC14" s="303">
        <v>86550</v>
      </c>
      <c r="AD14" s="303">
        <v>391151</v>
      </c>
      <c r="AE14" s="303">
        <v>462984</v>
      </c>
      <c r="AF14" s="303"/>
      <c r="AG14" s="303">
        <v>678064</v>
      </c>
      <c r="AH14" s="303">
        <v>200097</v>
      </c>
      <c r="AI14" s="303">
        <v>257956</v>
      </c>
      <c r="AJ14" s="303">
        <v>164680</v>
      </c>
      <c r="AK14" s="303">
        <v>180440</v>
      </c>
      <c r="AL14" s="303"/>
      <c r="AM14" s="303"/>
      <c r="AN14" s="303">
        <v>1102255.07</v>
      </c>
      <c r="AO14" s="303">
        <v>1255245</v>
      </c>
      <c r="AP14" s="303">
        <v>71869.490000000005</v>
      </c>
      <c r="AQ14" s="303">
        <v>72392</v>
      </c>
      <c r="AR14" s="292">
        <v>89091</v>
      </c>
      <c r="AS14" s="292">
        <v>112656</v>
      </c>
      <c r="AT14" s="292">
        <v>203167</v>
      </c>
      <c r="AU14" s="275">
        <v>385010</v>
      </c>
      <c r="AV14" s="295">
        <f>SUM(B14+D14+F14+H14+J14+L14+N14+P14+R14+T14+V14+X14+Z14+AB14+AD14+AF14+AH14+AJ14+AL14+AN14+AP14+AR14+AT14)</f>
        <v>6361907.0300000012</v>
      </c>
      <c r="AW14" s="44">
        <f t="shared" si="2"/>
        <v>7797142</v>
      </c>
      <c r="AX14" s="275">
        <v>18660500</v>
      </c>
      <c r="AY14" s="697">
        <v>21656810</v>
      </c>
      <c r="AZ14" s="25">
        <f t="shared" si="0"/>
        <v>25022407.030000001</v>
      </c>
      <c r="BA14" s="705">
        <f t="shared" si="0"/>
        <v>29453952</v>
      </c>
    </row>
    <row r="15" spans="1:53" s="31" customFormat="1" ht="15" thickBot="1" x14ac:dyDescent="0.35">
      <c r="A15" s="195" t="s">
        <v>118</v>
      </c>
      <c r="B15" s="319">
        <v>138088</v>
      </c>
      <c r="C15" s="319">
        <v>160059</v>
      </c>
      <c r="D15" s="311">
        <v>15963</v>
      </c>
      <c r="E15" s="311">
        <v>14890</v>
      </c>
      <c r="F15" s="311">
        <v>30269</v>
      </c>
      <c r="G15" s="311">
        <v>32393</v>
      </c>
      <c r="H15" s="311">
        <v>169579</v>
      </c>
      <c r="I15" s="311">
        <v>204989</v>
      </c>
      <c r="J15" s="311">
        <v>33565.589999999997</v>
      </c>
      <c r="K15" s="311">
        <v>40085</v>
      </c>
      <c r="L15" s="311">
        <v>59326</v>
      </c>
      <c r="M15" s="311">
        <v>62964</v>
      </c>
      <c r="N15" s="311">
        <v>20397.599999999999</v>
      </c>
      <c r="O15" s="311">
        <v>22528</v>
      </c>
      <c r="P15" s="311">
        <v>16025</v>
      </c>
      <c r="Q15" s="311">
        <v>18460</v>
      </c>
      <c r="R15" s="311">
        <v>65237</v>
      </c>
      <c r="S15" s="311">
        <v>71121</v>
      </c>
      <c r="T15" s="311">
        <v>19481</v>
      </c>
      <c r="U15" s="311">
        <v>22583</v>
      </c>
      <c r="V15" s="311">
        <v>484987</v>
      </c>
      <c r="W15" s="311">
        <v>568759</v>
      </c>
      <c r="X15" s="311">
        <v>504110.24</v>
      </c>
      <c r="Y15" s="311">
        <v>542088</v>
      </c>
      <c r="Z15" s="315">
        <v>33216</v>
      </c>
      <c r="AA15" s="315">
        <v>36993</v>
      </c>
      <c r="AB15" s="311">
        <v>57724</v>
      </c>
      <c r="AC15" s="311">
        <v>52127</v>
      </c>
      <c r="AD15" s="311">
        <v>152384</v>
      </c>
      <c r="AE15" s="311">
        <v>170143</v>
      </c>
      <c r="AF15" s="311"/>
      <c r="AG15" s="311">
        <v>346731</v>
      </c>
      <c r="AH15" s="311">
        <v>110938</v>
      </c>
      <c r="AI15" s="311">
        <v>123297</v>
      </c>
      <c r="AJ15" s="311">
        <v>70132</v>
      </c>
      <c r="AK15" s="311">
        <v>77151</v>
      </c>
      <c r="AL15" s="308"/>
      <c r="AM15" s="692"/>
      <c r="AN15" s="305">
        <v>512367.06</v>
      </c>
      <c r="AO15" s="305">
        <v>567038</v>
      </c>
      <c r="AP15" s="304">
        <v>30231.07</v>
      </c>
      <c r="AQ15" s="304">
        <v>33161</v>
      </c>
      <c r="AR15" s="300">
        <v>43306</v>
      </c>
      <c r="AS15" s="300">
        <v>51016</v>
      </c>
      <c r="AT15" s="294">
        <v>155206</v>
      </c>
      <c r="AU15" s="693">
        <v>201823</v>
      </c>
      <c r="AV15" s="296">
        <f>SUM(B15+D15+F15+H15+J15+L15+N15+P15+R15+T15+V15+X15+Z15+AB15+AD15+AF15+AH15+AJ15+AL15+AN15+AP15+AR15+AT15)</f>
        <v>2722532.5599999996</v>
      </c>
      <c r="AW15" s="44">
        <f t="shared" si="2"/>
        <v>3420399</v>
      </c>
      <c r="AX15" s="298">
        <v>10765411</v>
      </c>
      <c r="AY15" s="698">
        <v>11327373</v>
      </c>
      <c r="AZ15" s="25">
        <f t="shared" si="0"/>
        <v>13487943.559999999</v>
      </c>
      <c r="BA15" s="705">
        <f t="shared" si="0"/>
        <v>14747772</v>
      </c>
    </row>
    <row r="16" spans="1:53" s="509" customFormat="1" ht="15" thickBot="1" x14ac:dyDescent="0.35">
      <c r="A16" s="501" t="s">
        <v>119</v>
      </c>
      <c r="B16" s="502">
        <v>1.82</v>
      </c>
      <c r="C16" s="502">
        <v>1.81</v>
      </c>
      <c r="D16" s="503">
        <v>2.74</v>
      </c>
      <c r="E16" s="503">
        <v>3.29</v>
      </c>
      <c r="F16" s="503">
        <v>2.2200000000000002</v>
      </c>
      <c r="G16" s="503">
        <v>1.87</v>
      </c>
      <c r="H16" s="503">
        <v>6.48</v>
      </c>
      <c r="I16" s="503">
        <v>5.27</v>
      </c>
      <c r="J16" s="503">
        <v>1.73</v>
      </c>
      <c r="K16" s="503">
        <v>1.64</v>
      </c>
      <c r="L16" s="503">
        <v>2.88</v>
      </c>
      <c r="M16" s="503">
        <v>3.02</v>
      </c>
      <c r="N16" s="503">
        <v>4.1100000000000003</v>
      </c>
      <c r="O16" s="503">
        <v>4.26</v>
      </c>
      <c r="P16" s="503">
        <v>1.84</v>
      </c>
      <c r="Q16" s="503">
        <v>2</v>
      </c>
      <c r="R16" s="503">
        <v>2.19</v>
      </c>
      <c r="S16" s="503">
        <v>2.11</v>
      </c>
      <c r="T16" s="503">
        <v>1.84</v>
      </c>
      <c r="U16" s="503">
        <v>2.2799999999999998</v>
      </c>
      <c r="V16" s="503">
        <v>2.0299999999999998</v>
      </c>
      <c r="W16" s="503">
        <v>1.78</v>
      </c>
      <c r="X16" s="503">
        <v>1.94</v>
      </c>
      <c r="Y16" s="503">
        <v>2.04</v>
      </c>
      <c r="Z16" s="504">
        <v>3.08</v>
      </c>
      <c r="AA16" s="504">
        <v>3.2</v>
      </c>
      <c r="AB16" s="503">
        <v>1.76</v>
      </c>
      <c r="AC16" s="503">
        <v>1.66</v>
      </c>
      <c r="AD16" s="503">
        <v>2.57</v>
      </c>
      <c r="AE16" s="503">
        <v>2.72</v>
      </c>
      <c r="AF16" s="503"/>
      <c r="AG16" s="503">
        <v>1.96</v>
      </c>
      <c r="AH16" s="503">
        <v>1.8</v>
      </c>
      <c r="AI16" s="503">
        <v>2.09</v>
      </c>
      <c r="AJ16" s="503">
        <v>2.35</v>
      </c>
      <c r="AK16" s="503">
        <v>2.34</v>
      </c>
      <c r="AL16" s="505"/>
      <c r="AM16" s="505"/>
      <c r="AN16" s="503">
        <v>2.15</v>
      </c>
      <c r="AO16" s="503">
        <v>2.21</v>
      </c>
      <c r="AP16" s="506">
        <v>2.38</v>
      </c>
      <c r="AQ16" s="506">
        <v>2.1800000000000002</v>
      </c>
      <c r="AR16" s="507">
        <v>2.06</v>
      </c>
      <c r="AS16" s="507">
        <v>2.21</v>
      </c>
      <c r="AT16" s="501">
        <v>1.95</v>
      </c>
      <c r="AU16" s="508">
        <v>1.91</v>
      </c>
      <c r="AV16" s="508">
        <f>SUM(B16+D16+F16+H16+J16+L16+N16+P16+R16+T16+V16+X16+Z16+AB16+AD16+AF16+AH16+AJ16+AL16+AN16+AP16+AR16+AT16)</f>
        <v>51.920000000000009</v>
      </c>
      <c r="AW16" s="508">
        <f t="shared" si="2"/>
        <v>53.85</v>
      </c>
      <c r="AX16" s="508">
        <v>1.73</v>
      </c>
      <c r="AY16" s="699">
        <v>1.89</v>
      </c>
      <c r="AZ16" s="701">
        <f t="shared" si="0"/>
        <v>53.650000000000006</v>
      </c>
      <c r="BA16" s="713">
        <f t="shared" si="0"/>
        <v>55.74</v>
      </c>
    </row>
  </sheetData>
  <mergeCells count="28">
    <mergeCell ref="AB3:AC3"/>
    <mergeCell ref="A1:AZ1"/>
    <mergeCell ref="A2:AZ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D3:AE3"/>
    <mergeCell ref="AF3:AG3"/>
    <mergeCell ref="AH3:AI3"/>
    <mergeCell ref="AJ3:AK3"/>
    <mergeCell ref="AL3:AM3"/>
    <mergeCell ref="AZ3:BA3"/>
    <mergeCell ref="AN3:AO3"/>
    <mergeCell ref="AP3:AQ3"/>
    <mergeCell ref="AR3:AS3"/>
    <mergeCell ref="AT3:AU3"/>
    <mergeCell ref="AV3:AW3"/>
    <mergeCell ref="AX3:AY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A1:BA14"/>
  <sheetViews>
    <sheetView workbookViewId="0">
      <pane xSplit="1" topLeftCell="B1" activePane="topRight" state="frozen"/>
      <selection pane="topRight" activeCell="AU24" sqref="AU24"/>
    </sheetView>
  </sheetViews>
  <sheetFormatPr defaultRowHeight="13.5" x14ac:dyDescent="0.25"/>
  <cols>
    <col min="1" max="1" width="23.7109375" style="73" bestFit="1" customWidth="1"/>
    <col min="2" max="15" width="11.7109375" style="73" bestFit="1" customWidth="1"/>
    <col min="16" max="16" width="7.7109375" style="73" customWidth="1"/>
    <col min="17" max="17" width="9.28515625" style="73" customWidth="1"/>
    <col min="18" max="18" width="11.7109375" style="73" bestFit="1" customWidth="1"/>
    <col min="19" max="19" width="8.85546875" style="73" customWidth="1"/>
    <col min="20" max="20" width="9.5703125" style="73" customWidth="1"/>
    <col min="21" max="21" width="10.28515625" style="73" customWidth="1"/>
    <col min="22" max="39" width="11.7109375" style="73" bestFit="1" customWidth="1"/>
    <col min="40" max="41" width="13.5703125" style="73" customWidth="1"/>
    <col min="42" max="42" width="11" style="73" customWidth="1"/>
    <col min="43" max="44" width="11.7109375" style="73" bestFit="1" customWidth="1"/>
    <col min="45" max="45" width="10.85546875" style="73" customWidth="1"/>
    <col min="46" max="53" width="11.7109375" style="73" bestFit="1" customWidth="1"/>
    <col min="54" max="16384" width="9.140625" style="73"/>
  </cols>
  <sheetData>
    <row r="1" spans="1:53" x14ac:dyDescent="0.25">
      <c r="A1" s="1376" t="s">
        <v>253</v>
      </c>
      <c r="B1" s="1376"/>
      <c r="C1" s="1376"/>
      <c r="D1" s="1376"/>
      <c r="E1" s="1376"/>
      <c r="F1" s="1376"/>
      <c r="G1" s="1376"/>
      <c r="H1" s="1376"/>
      <c r="I1" s="1376"/>
      <c r="J1" s="1376"/>
      <c r="K1" s="1376"/>
      <c r="L1" s="1376"/>
      <c r="M1" s="1376"/>
      <c r="N1" s="1376"/>
      <c r="O1" s="1376"/>
      <c r="P1" s="1376"/>
      <c r="Q1" s="1376"/>
      <c r="R1" s="1376"/>
      <c r="S1" s="1376"/>
      <c r="T1" s="1376"/>
      <c r="U1" s="1376"/>
      <c r="V1" s="1376"/>
      <c r="W1" s="1376"/>
      <c r="X1" s="1376"/>
      <c r="Y1" s="1376"/>
      <c r="Z1" s="1376"/>
      <c r="AA1" s="1376"/>
      <c r="AB1" s="1376"/>
      <c r="AC1" s="1376"/>
      <c r="AD1" s="1376"/>
      <c r="AE1" s="1376"/>
      <c r="AF1" s="1376"/>
      <c r="AG1" s="1376"/>
      <c r="AH1" s="1376"/>
      <c r="AI1" s="1376"/>
      <c r="AJ1" s="1376"/>
      <c r="AK1" s="1376"/>
      <c r="AL1" s="1376"/>
      <c r="AM1" s="1376"/>
      <c r="AN1" s="1376"/>
      <c r="AO1" s="1376"/>
      <c r="AP1" s="1376"/>
      <c r="AQ1" s="1376"/>
      <c r="AR1" s="1376"/>
      <c r="AS1" s="1376"/>
      <c r="AT1" s="1376"/>
      <c r="AU1" s="1376"/>
      <c r="AV1" s="1376"/>
      <c r="AW1" s="1376"/>
      <c r="AX1" s="1376"/>
      <c r="AY1" s="1376"/>
      <c r="AZ1" s="1376"/>
      <c r="BA1" s="1376"/>
    </row>
    <row r="2" spans="1:53" ht="16.5" thickBot="1" x14ac:dyDescent="0.4">
      <c r="A2" s="1330" t="s">
        <v>157</v>
      </c>
      <c r="B2" s="1330"/>
      <c r="C2" s="1330"/>
      <c r="D2" s="1330"/>
      <c r="E2" s="1330"/>
      <c r="F2" s="1330"/>
      <c r="G2" s="1330"/>
      <c r="H2" s="1330"/>
      <c r="I2" s="1330"/>
      <c r="J2" s="1330"/>
      <c r="K2" s="1330"/>
      <c r="L2" s="1330"/>
      <c r="M2" s="1330"/>
      <c r="N2" s="1330"/>
      <c r="O2" s="1330"/>
      <c r="P2" s="1330"/>
      <c r="Q2" s="1330"/>
      <c r="R2" s="1330"/>
      <c r="S2" s="1330"/>
      <c r="T2" s="1330"/>
      <c r="U2" s="1330"/>
      <c r="V2" s="1330"/>
      <c r="W2" s="1330"/>
      <c r="X2" s="1330"/>
      <c r="Y2" s="1330"/>
      <c r="Z2" s="1330"/>
      <c r="AA2" s="1330"/>
      <c r="AB2" s="1330"/>
      <c r="AC2" s="1330"/>
      <c r="AD2" s="1330"/>
      <c r="AE2" s="1330"/>
      <c r="AF2" s="1330"/>
      <c r="AG2" s="1330"/>
      <c r="AH2" s="1330"/>
      <c r="AI2" s="1330"/>
      <c r="AJ2" s="1330"/>
      <c r="AK2" s="1330"/>
      <c r="AL2" s="1330"/>
      <c r="AM2" s="1330"/>
      <c r="AN2" s="1330"/>
      <c r="AO2" s="1330"/>
      <c r="AP2" s="1330"/>
      <c r="AQ2" s="1330"/>
      <c r="AR2" s="1330"/>
      <c r="AS2" s="1330"/>
      <c r="AT2" s="1330"/>
      <c r="AU2" s="1330"/>
      <c r="AV2" s="1330"/>
      <c r="AW2" s="1330"/>
      <c r="AX2" s="1330"/>
      <c r="AY2" s="1330"/>
      <c r="AZ2" s="1330"/>
      <c r="BA2" s="1330"/>
    </row>
    <row r="3" spans="1:53" s="904" customFormat="1" ht="41.25" customHeight="1" thickBot="1" x14ac:dyDescent="0.3">
      <c r="A3" s="1396" t="s">
        <v>0</v>
      </c>
      <c r="B3" s="1383" t="s">
        <v>159</v>
      </c>
      <c r="C3" s="1384"/>
      <c r="D3" s="1385" t="s">
        <v>160</v>
      </c>
      <c r="E3" s="1386"/>
      <c r="F3" s="1387" t="s">
        <v>161</v>
      </c>
      <c r="G3" s="1388"/>
      <c r="H3" s="1389" t="s">
        <v>162</v>
      </c>
      <c r="I3" s="1390"/>
      <c r="J3" s="1380" t="s">
        <v>163</v>
      </c>
      <c r="K3" s="1381"/>
      <c r="L3" s="1380" t="s">
        <v>164</v>
      </c>
      <c r="M3" s="1381"/>
      <c r="N3" s="1380" t="s">
        <v>315</v>
      </c>
      <c r="O3" s="1393"/>
      <c r="P3" s="1380" t="s">
        <v>165</v>
      </c>
      <c r="Q3" s="1381"/>
      <c r="R3" s="1380" t="s">
        <v>166</v>
      </c>
      <c r="S3" s="1381"/>
      <c r="T3" s="1380" t="s">
        <v>167</v>
      </c>
      <c r="U3" s="1381"/>
      <c r="V3" s="1380" t="s">
        <v>168</v>
      </c>
      <c r="W3" s="1382"/>
      <c r="X3" s="1380" t="s">
        <v>169</v>
      </c>
      <c r="Y3" s="1381"/>
      <c r="Z3" s="1380" t="s">
        <v>325</v>
      </c>
      <c r="AA3" s="1381"/>
      <c r="AB3" s="1380" t="s">
        <v>170</v>
      </c>
      <c r="AC3" s="1393"/>
      <c r="AD3" s="1394" t="s">
        <v>171</v>
      </c>
      <c r="AE3" s="1392"/>
      <c r="AF3" s="1380" t="s">
        <v>172</v>
      </c>
      <c r="AG3" s="1381"/>
      <c r="AH3" s="1380" t="s">
        <v>173</v>
      </c>
      <c r="AI3" s="1382"/>
      <c r="AJ3" s="1380" t="s">
        <v>174</v>
      </c>
      <c r="AK3" s="1381"/>
      <c r="AL3" s="1391" t="s">
        <v>175</v>
      </c>
      <c r="AM3" s="1400"/>
      <c r="AN3" s="1380" t="s">
        <v>176</v>
      </c>
      <c r="AO3" s="1381"/>
      <c r="AP3" s="1382" t="s">
        <v>177</v>
      </c>
      <c r="AQ3" s="1381"/>
      <c r="AR3" s="1387" t="s">
        <v>178</v>
      </c>
      <c r="AS3" s="1395"/>
      <c r="AT3" s="1382" t="s">
        <v>179</v>
      </c>
      <c r="AU3" s="1382"/>
      <c r="AV3" s="1380" t="s">
        <v>1</v>
      </c>
      <c r="AW3" s="1381"/>
      <c r="AX3" s="1391" t="s">
        <v>180</v>
      </c>
      <c r="AY3" s="1392"/>
      <c r="AZ3" s="1398" t="s">
        <v>2</v>
      </c>
      <c r="BA3" s="1399"/>
    </row>
    <row r="4" spans="1:53" s="361" customFormat="1" ht="15" thickBot="1" x14ac:dyDescent="0.35">
      <c r="A4" s="1397"/>
      <c r="B4" s="903" t="s">
        <v>321</v>
      </c>
      <c r="C4" s="903" t="s">
        <v>383</v>
      </c>
      <c r="D4" s="903" t="s">
        <v>321</v>
      </c>
      <c r="E4" s="903" t="s">
        <v>383</v>
      </c>
      <c r="F4" s="903" t="s">
        <v>321</v>
      </c>
      <c r="G4" s="903" t="s">
        <v>383</v>
      </c>
      <c r="H4" s="903" t="s">
        <v>321</v>
      </c>
      <c r="I4" s="903" t="s">
        <v>383</v>
      </c>
      <c r="J4" s="903" t="s">
        <v>321</v>
      </c>
      <c r="K4" s="903" t="s">
        <v>383</v>
      </c>
      <c r="L4" s="903" t="s">
        <v>321</v>
      </c>
      <c r="M4" s="903" t="s">
        <v>383</v>
      </c>
      <c r="N4" s="903" t="s">
        <v>321</v>
      </c>
      <c r="O4" s="903" t="s">
        <v>383</v>
      </c>
      <c r="P4" s="903" t="s">
        <v>321</v>
      </c>
      <c r="Q4" s="903" t="s">
        <v>383</v>
      </c>
      <c r="R4" s="903" t="s">
        <v>321</v>
      </c>
      <c r="S4" s="903" t="s">
        <v>383</v>
      </c>
      <c r="T4" s="903" t="s">
        <v>321</v>
      </c>
      <c r="U4" s="903" t="s">
        <v>383</v>
      </c>
      <c r="V4" s="903" t="s">
        <v>321</v>
      </c>
      <c r="W4" s="903" t="s">
        <v>383</v>
      </c>
      <c r="X4" s="903" t="s">
        <v>321</v>
      </c>
      <c r="Y4" s="903" t="s">
        <v>383</v>
      </c>
      <c r="Z4" s="903" t="s">
        <v>321</v>
      </c>
      <c r="AA4" s="903" t="s">
        <v>383</v>
      </c>
      <c r="AB4" s="903" t="s">
        <v>321</v>
      </c>
      <c r="AC4" s="903" t="s">
        <v>383</v>
      </c>
      <c r="AD4" s="903" t="s">
        <v>321</v>
      </c>
      <c r="AE4" s="903" t="s">
        <v>383</v>
      </c>
      <c r="AF4" s="903" t="s">
        <v>321</v>
      </c>
      <c r="AG4" s="903" t="s">
        <v>383</v>
      </c>
      <c r="AH4" s="903" t="s">
        <v>321</v>
      </c>
      <c r="AI4" s="903" t="s">
        <v>383</v>
      </c>
      <c r="AJ4" s="903" t="s">
        <v>321</v>
      </c>
      <c r="AK4" s="903" t="s">
        <v>383</v>
      </c>
      <c r="AL4" s="903" t="s">
        <v>321</v>
      </c>
      <c r="AM4" s="903" t="s">
        <v>383</v>
      </c>
      <c r="AN4" s="903" t="s">
        <v>321</v>
      </c>
      <c r="AO4" s="903" t="s">
        <v>383</v>
      </c>
      <c r="AP4" s="903" t="s">
        <v>321</v>
      </c>
      <c r="AQ4" s="903" t="s">
        <v>383</v>
      </c>
      <c r="AR4" s="903" t="s">
        <v>321</v>
      </c>
      <c r="AS4" s="903" t="s">
        <v>383</v>
      </c>
      <c r="AT4" s="903" t="s">
        <v>321</v>
      </c>
      <c r="AU4" s="903" t="s">
        <v>383</v>
      </c>
      <c r="AV4" s="903" t="s">
        <v>321</v>
      </c>
      <c r="AW4" s="903" t="s">
        <v>383</v>
      </c>
      <c r="AX4" s="903" t="s">
        <v>321</v>
      </c>
      <c r="AY4" s="903" t="s">
        <v>383</v>
      </c>
      <c r="AZ4" s="903" t="s">
        <v>321</v>
      </c>
      <c r="BA4" s="903" t="s">
        <v>383</v>
      </c>
    </row>
    <row r="5" spans="1:53" s="77" customFormat="1" ht="15" customHeight="1" x14ac:dyDescent="0.25">
      <c r="A5" s="85" t="s">
        <v>3</v>
      </c>
      <c r="B5" s="272">
        <v>6.64</v>
      </c>
      <c r="C5" s="271">
        <v>4.5199999999999996</v>
      </c>
      <c r="D5" s="268"/>
      <c r="E5" s="270"/>
      <c r="F5" s="268">
        <v>0.01</v>
      </c>
      <c r="G5" s="269">
        <v>0.08</v>
      </c>
      <c r="H5" s="268">
        <v>6</v>
      </c>
      <c r="I5" s="270">
        <v>0.06</v>
      </c>
      <c r="J5" s="272"/>
      <c r="K5" s="269"/>
      <c r="L5" s="268"/>
      <c r="M5" s="269"/>
      <c r="N5" s="268"/>
      <c r="O5" s="269"/>
      <c r="P5" s="268"/>
      <c r="Q5" s="269"/>
      <c r="R5" s="268"/>
      <c r="S5" s="270"/>
      <c r="T5" s="268">
        <v>2.0099999999999998</v>
      </c>
      <c r="U5" s="270">
        <v>0.5</v>
      </c>
      <c r="V5" s="268">
        <v>0.15</v>
      </c>
      <c r="W5" s="269">
        <v>0.15</v>
      </c>
      <c r="X5" s="268">
        <v>4</v>
      </c>
      <c r="Y5" s="269">
        <v>36.76</v>
      </c>
      <c r="Z5" s="268"/>
      <c r="AA5" s="269"/>
      <c r="AB5" s="283"/>
      <c r="AC5" s="325"/>
      <c r="AD5" s="272">
        <v>0.41</v>
      </c>
      <c r="AE5" s="269">
        <v>-7.0000000000000007E-2</v>
      </c>
      <c r="AF5" s="268">
        <v>0.6</v>
      </c>
      <c r="AG5" s="269">
        <v>0.04</v>
      </c>
      <c r="AH5" s="268"/>
      <c r="AI5" s="269"/>
      <c r="AJ5" s="268"/>
      <c r="AK5" s="269"/>
      <c r="AL5" s="268"/>
      <c r="AM5" s="271"/>
      <c r="AN5" s="719">
        <v>39</v>
      </c>
      <c r="AO5" s="720">
        <v>51.61</v>
      </c>
      <c r="AP5" s="272"/>
      <c r="AQ5" s="269"/>
      <c r="AR5" s="268"/>
      <c r="AS5" s="269"/>
      <c r="AT5" s="673">
        <v>0.43</v>
      </c>
      <c r="AU5" s="910">
        <v>0.95</v>
      </c>
      <c r="AV5" s="266">
        <f t="shared" ref="AV5:AV14" si="0">SUM(B5+D5+F5+H5+J5+L5+N5+P5+R5+T5+V5+X5+Z5+P5+AD5+AF5+AH5+AJ5+AL5+AN5+AP5+AR5+B5)</f>
        <v>65.459999999999994</v>
      </c>
      <c r="AW5" s="912">
        <f t="shared" ref="AW5:AW14" si="1">SUM(C5+E5+G5+I5+K5+M5+O5+Q5+S5+U5+W5+Y5+AA5+Q5+AE5+AG5+AI5+AK5+AM5+AO5+AQ5+AS5+C5)</f>
        <v>98.17</v>
      </c>
      <c r="AX5" s="268">
        <v>1473.93</v>
      </c>
      <c r="AY5" s="269">
        <v>1233.0899999999999</v>
      </c>
      <c r="AZ5" s="266">
        <f t="shared" ref="AZ5:AZ14" si="2">AV5+AX5</f>
        <v>1539.39</v>
      </c>
      <c r="BA5" s="267">
        <f t="shared" ref="BA5:BA14" si="3">AW5+AY5</f>
        <v>1331.26</v>
      </c>
    </row>
    <row r="6" spans="1:53" s="77" customFormat="1" x14ac:dyDescent="0.25">
      <c r="A6" s="85" t="s">
        <v>4</v>
      </c>
      <c r="B6" s="26">
        <v>-4.46</v>
      </c>
      <c r="C6" s="78">
        <v>22.71</v>
      </c>
      <c r="D6" s="4"/>
      <c r="E6" s="6"/>
      <c r="F6" s="4">
        <v>0.56000000000000005</v>
      </c>
      <c r="G6" s="5">
        <v>2.11</v>
      </c>
      <c r="H6" s="4">
        <v>170</v>
      </c>
      <c r="I6" s="6">
        <v>202.71</v>
      </c>
      <c r="J6" s="26">
        <v>1.57</v>
      </c>
      <c r="K6" s="5">
        <v>6.75</v>
      </c>
      <c r="L6" s="4">
        <v>126</v>
      </c>
      <c r="M6" s="5">
        <v>175.18</v>
      </c>
      <c r="N6" s="4"/>
      <c r="O6" s="5"/>
      <c r="P6" s="4">
        <v>1.1100000000000001</v>
      </c>
      <c r="Q6" s="5">
        <v>0.35</v>
      </c>
      <c r="R6" s="4">
        <v>0.04</v>
      </c>
      <c r="S6" s="6">
        <v>0.04</v>
      </c>
      <c r="T6" s="4">
        <v>7.42</v>
      </c>
      <c r="U6" s="6">
        <v>2.4500000000000002</v>
      </c>
      <c r="V6" s="4">
        <v>293.27999999999997</v>
      </c>
      <c r="W6" s="5">
        <v>638.38</v>
      </c>
      <c r="X6" s="4">
        <v>152</v>
      </c>
      <c r="Y6" s="5">
        <v>257.62</v>
      </c>
      <c r="Z6" s="71">
        <v>17.8</v>
      </c>
      <c r="AA6" s="72">
        <v>37.61</v>
      </c>
      <c r="AB6" s="282">
        <v>36.770000000000003</v>
      </c>
      <c r="AC6" s="324">
        <v>64.55</v>
      </c>
      <c r="AD6" s="26">
        <v>32.96</v>
      </c>
      <c r="AE6" s="5">
        <v>46.2</v>
      </c>
      <c r="AF6" s="4">
        <v>127.62</v>
      </c>
      <c r="AG6" s="5">
        <v>113.4</v>
      </c>
      <c r="AH6" s="4">
        <v>50.61</v>
      </c>
      <c r="AI6" s="5">
        <v>77.02</v>
      </c>
      <c r="AJ6" s="4"/>
      <c r="AK6" s="5"/>
      <c r="AL6" s="84"/>
      <c r="AM6" s="78"/>
      <c r="AN6" s="721">
        <v>425</v>
      </c>
      <c r="AO6" s="722">
        <v>684.96</v>
      </c>
      <c r="AP6" s="718"/>
      <c r="AQ6" s="79"/>
      <c r="AR6" s="80">
        <v>36.57</v>
      </c>
      <c r="AS6" s="81">
        <v>69.430000000000007</v>
      </c>
      <c r="AT6" s="282">
        <v>0.1</v>
      </c>
      <c r="AU6" s="911">
        <v>3.52</v>
      </c>
      <c r="AV6" s="266">
        <f t="shared" si="0"/>
        <v>1434.7299999999998</v>
      </c>
      <c r="AW6" s="912">
        <f t="shared" si="1"/>
        <v>2359.98</v>
      </c>
      <c r="AX6" s="80">
        <v>179.03</v>
      </c>
      <c r="AY6" s="81">
        <v>10.039999999999999</v>
      </c>
      <c r="AZ6" s="68">
        <f t="shared" si="2"/>
        <v>1613.7599999999998</v>
      </c>
      <c r="BA6" s="76">
        <f t="shared" si="3"/>
        <v>2370.02</v>
      </c>
    </row>
    <row r="7" spans="1:53" s="77" customFormat="1" x14ac:dyDescent="0.25">
      <c r="A7" s="85" t="s">
        <v>5</v>
      </c>
      <c r="B7" s="26">
        <v>26.62</v>
      </c>
      <c r="C7" s="78">
        <v>41.75</v>
      </c>
      <c r="D7" s="4">
        <v>-0.01</v>
      </c>
      <c r="E7" s="6">
        <v>0.28999999999999998</v>
      </c>
      <c r="F7" s="4"/>
      <c r="G7" s="5"/>
      <c r="H7" s="4">
        <v>9</v>
      </c>
      <c r="I7" s="6">
        <v>24.02</v>
      </c>
      <c r="J7" s="26">
        <v>0.4</v>
      </c>
      <c r="K7" s="5">
        <v>-0.02</v>
      </c>
      <c r="L7" s="4">
        <v>2.67</v>
      </c>
      <c r="M7" s="5">
        <v>10.18</v>
      </c>
      <c r="N7" s="4">
        <v>12.5</v>
      </c>
      <c r="O7" s="5">
        <v>41.2</v>
      </c>
      <c r="P7" s="4"/>
      <c r="Q7" s="5"/>
      <c r="R7" s="4"/>
      <c r="S7" s="6"/>
      <c r="T7" s="4">
        <v>0.08</v>
      </c>
      <c r="U7" s="6"/>
      <c r="V7" s="4">
        <v>257.5</v>
      </c>
      <c r="W7" s="5">
        <v>366.53</v>
      </c>
      <c r="X7" s="4">
        <v>59</v>
      </c>
      <c r="Y7" s="5">
        <v>97.37</v>
      </c>
      <c r="Z7" s="71"/>
      <c r="AA7" s="72"/>
      <c r="AB7" s="282"/>
      <c r="AC7" s="324">
        <v>0.39</v>
      </c>
      <c r="AD7" s="26">
        <v>30.02</v>
      </c>
      <c r="AE7" s="5">
        <v>77.69</v>
      </c>
      <c r="AF7" s="4">
        <v>2.1800000000000002</v>
      </c>
      <c r="AG7" s="5">
        <v>0.68</v>
      </c>
      <c r="AH7" s="4"/>
      <c r="AI7" s="5"/>
      <c r="AJ7" s="4"/>
      <c r="AK7" s="5"/>
      <c r="AL7" s="84"/>
      <c r="AM7" s="78"/>
      <c r="AN7" s="721">
        <v>1</v>
      </c>
      <c r="AO7" s="722">
        <v>0.38</v>
      </c>
      <c r="AP7" s="718">
        <v>9.9499999999999993</v>
      </c>
      <c r="AQ7" s="79">
        <v>30.53</v>
      </c>
      <c r="AR7" s="80"/>
      <c r="AS7" s="81"/>
      <c r="AT7" s="282"/>
      <c r="AU7" s="911"/>
      <c r="AV7" s="266">
        <f t="shared" si="0"/>
        <v>437.53</v>
      </c>
      <c r="AW7" s="912">
        <f t="shared" si="1"/>
        <v>732.34999999999991</v>
      </c>
      <c r="AX7" s="80">
        <v>2.71</v>
      </c>
      <c r="AY7" s="81">
        <v>2.62</v>
      </c>
      <c r="AZ7" s="68">
        <f t="shared" si="2"/>
        <v>440.23999999999995</v>
      </c>
      <c r="BA7" s="76">
        <f t="shared" si="3"/>
        <v>734.96999999999991</v>
      </c>
    </row>
    <row r="8" spans="1:53" s="77" customFormat="1" x14ac:dyDescent="0.25">
      <c r="A8" s="85" t="s">
        <v>6</v>
      </c>
      <c r="B8" s="26">
        <v>20.11</v>
      </c>
      <c r="C8" s="78">
        <v>85.55</v>
      </c>
      <c r="D8" s="4">
        <v>3.5</v>
      </c>
      <c r="E8" s="6"/>
      <c r="F8" s="4">
        <v>7.85</v>
      </c>
      <c r="G8" s="5">
        <v>2.68</v>
      </c>
      <c r="H8" s="4">
        <v>16</v>
      </c>
      <c r="I8" s="6">
        <v>142.87</v>
      </c>
      <c r="J8" s="26">
        <v>0.21</v>
      </c>
      <c r="K8" s="5">
        <v>0.04</v>
      </c>
      <c r="L8" s="4">
        <v>0.96</v>
      </c>
      <c r="M8" s="5"/>
      <c r="N8" s="4">
        <v>9.44</v>
      </c>
      <c r="O8" s="5">
        <v>13.91</v>
      </c>
      <c r="P8" s="4">
        <v>0.53</v>
      </c>
      <c r="Q8" s="5">
        <v>7.0000000000000007E-2</v>
      </c>
      <c r="R8" s="4">
        <v>31.59</v>
      </c>
      <c r="S8" s="6">
        <v>20.49</v>
      </c>
      <c r="T8" s="4">
        <v>2.81</v>
      </c>
      <c r="U8" s="6">
        <v>3.32</v>
      </c>
      <c r="V8" s="4">
        <v>38</v>
      </c>
      <c r="W8" s="5">
        <v>85.88</v>
      </c>
      <c r="X8" s="4">
        <v>107</v>
      </c>
      <c r="Y8" s="5">
        <v>238.82</v>
      </c>
      <c r="Z8" s="71"/>
      <c r="AA8" s="72"/>
      <c r="AB8" s="282">
        <v>23.93</v>
      </c>
      <c r="AC8" s="324">
        <v>20.78</v>
      </c>
      <c r="AD8" s="26">
        <v>20.07</v>
      </c>
      <c r="AE8" s="5">
        <v>86.05</v>
      </c>
      <c r="AF8" s="4">
        <v>9.98</v>
      </c>
      <c r="AG8" s="5">
        <v>2.72</v>
      </c>
      <c r="AH8" s="4">
        <v>19.52</v>
      </c>
      <c r="AI8" s="5">
        <v>43.23</v>
      </c>
      <c r="AJ8" s="4">
        <v>0.03</v>
      </c>
      <c r="AK8" s="5">
        <v>0.04</v>
      </c>
      <c r="AL8" s="84"/>
      <c r="AM8" s="78"/>
      <c r="AN8" s="721">
        <v>15</v>
      </c>
      <c r="AO8" s="722">
        <v>31.62</v>
      </c>
      <c r="AP8" s="718">
        <v>24.72</v>
      </c>
      <c r="AQ8" s="79">
        <v>1.25</v>
      </c>
      <c r="AR8" s="80">
        <v>2.59</v>
      </c>
      <c r="AS8" s="81">
        <v>0.03</v>
      </c>
      <c r="AT8" s="282">
        <v>9.84</v>
      </c>
      <c r="AU8" s="911">
        <v>35.46</v>
      </c>
      <c r="AV8" s="266">
        <f t="shared" si="0"/>
        <v>350.55</v>
      </c>
      <c r="AW8" s="912">
        <f t="shared" si="1"/>
        <v>844.18999999999994</v>
      </c>
      <c r="AX8" s="80">
        <v>23.65</v>
      </c>
      <c r="AY8" s="81">
        <v>27.22</v>
      </c>
      <c r="AZ8" s="68">
        <f t="shared" si="2"/>
        <v>374.2</v>
      </c>
      <c r="BA8" s="76">
        <f t="shared" si="3"/>
        <v>871.41</v>
      </c>
    </row>
    <row r="9" spans="1:53" s="77" customFormat="1" x14ac:dyDescent="0.25">
      <c r="A9" s="85" t="s">
        <v>7</v>
      </c>
      <c r="B9" s="26"/>
      <c r="C9" s="78"/>
      <c r="D9" s="4"/>
      <c r="E9" s="6"/>
      <c r="F9" s="4"/>
      <c r="G9" s="5"/>
      <c r="H9" s="4">
        <v>17</v>
      </c>
      <c r="I9" s="6">
        <v>11.87</v>
      </c>
      <c r="J9" s="26"/>
      <c r="K9" s="5"/>
      <c r="L9" s="4"/>
      <c r="M9" s="5"/>
      <c r="N9" s="4">
        <v>0.44</v>
      </c>
      <c r="O9" s="5">
        <v>0.64</v>
      </c>
      <c r="P9" s="4"/>
      <c r="Q9" s="5"/>
      <c r="R9" s="4"/>
      <c r="S9" s="6"/>
      <c r="T9" s="4"/>
      <c r="U9" s="6"/>
      <c r="V9" s="4">
        <v>1.51</v>
      </c>
      <c r="W9" s="5">
        <v>10.82</v>
      </c>
      <c r="X9" s="4"/>
      <c r="Y9" s="5">
        <v>4.16</v>
      </c>
      <c r="Z9" s="71"/>
      <c r="AA9" s="72"/>
      <c r="AB9" s="282"/>
      <c r="AC9" s="324">
        <v>3.34</v>
      </c>
      <c r="AD9" s="26">
        <v>27.9</v>
      </c>
      <c r="AE9" s="5">
        <v>54.97</v>
      </c>
      <c r="AF9" s="4"/>
      <c r="AG9" s="5"/>
      <c r="AH9" s="4"/>
      <c r="AI9" s="5"/>
      <c r="AJ9" s="4"/>
      <c r="AK9" s="5"/>
      <c r="AL9" s="84"/>
      <c r="AM9" s="78"/>
      <c r="AN9" s="723"/>
      <c r="AO9" s="908"/>
      <c r="AP9" s="718"/>
      <c r="AQ9" s="79"/>
      <c r="AR9" s="80"/>
      <c r="AS9" s="81"/>
      <c r="AT9" s="282"/>
      <c r="AU9" s="911"/>
      <c r="AV9" s="266">
        <f t="shared" si="0"/>
        <v>46.85</v>
      </c>
      <c r="AW9" s="912">
        <f t="shared" si="1"/>
        <v>82.46</v>
      </c>
      <c r="AX9" s="80"/>
      <c r="AY9" s="81"/>
      <c r="AZ9" s="68">
        <f t="shared" si="2"/>
        <v>46.85</v>
      </c>
      <c r="BA9" s="76">
        <f t="shared" si="3"/>
        <v>82.46</v>
      </c>
    </row>
    <row r="10" spans="1:53" s="77" customFormat="1" x14ac:dyDescent="0.25">
      <c r="A10" s="85" t="s">
        <v>8</v>
      </c>
      <c r="B10" s="26">
        <v>252.49</v>
      </c>
      <c r="C10" s="78">
        <v>730.01</v>
      </c>
      <c r="D10" s="4">
        <v>0.7</v>
      </c>
      <c r="E10" s="6">
        <v>0.02</v>
      </c>
      <c r="F10" s="4">
        <v>4.8600000000000003</v>
      </c>
      <c r="G10" s="5">
        <v>23.89</v>
      </c>
      <c r="H10" s="4">
        <v>544</v>
      </c>
      <c r="I10" s="6">
        <v>1531.72</v>
      </c>
      <c r="J10" s="26">
        <v>29.27</v>
      </c>
      <c r="K10" s="5">
        <v>41.38</v>
      </c>
      <c r="L10" s="4">
        <v>426.05</v>
      </c>
      <c r="M10" s="5">
        <v>140.44</v>
      </c>
      <c r="N10" s="4">
        <v>7.04</v>
      </c>
      <c r="O10" s="5">
        <v>10.76</v>
      </c>
      <c r="P10" s="4">
        <v>1.97</v>
      </c>
      <c r="Q10" s="5">
        <v>2.1800000000000002</v>
      </c>
      <c r="R10" s="4">
        <v>3.67</v>
      </c>
      <c r="S10" s="6">
        <v>3.9</v>
      </c>
      <c r="T10" s="4">
        <v>49.82</v>
      </c>
      <c r="U10" s="6">
        <v>106.6</v>
      </c>
      <c r="V10" s="4">
        <v>1322.29</v>
      </c>
      <c r="W10" s="5">
        <v>1446.1</v>
      </c>
      <c r="X10" s="4">
        <v>906</v>
      </c>
      <c r="Y10" s="5">
        <v>1070.19</v>
      </c>
      <c r="Z10" s="71">
        <v>1.93</v>
      </c>
      <c r="AA10" s="72">
        <v>1.1299999999999999</v>
      </c>
      <c r="AB10" s="282">
        <v>212.17</v>
      </c>
      <c r="AC10" s="324">
        <v>104.41</v>
      </c>
      <c r="AD10" s="82">
        <v>219.11</v>
      </c>
      <c r="AE10" s="83">
        <v>413.59</v>
      </c>
      <c r="AF10" s="4">
        <v>26.05</v>
      </c>
      <c r="AG10" s="5">
        <v>18.45</v>
      </c>
      <c r="AH10" s="4">
        <v>22.18</v>
      </c>
      <c r="AI10" s="5">
        <v>50.76</v>
      </c>
      <c r="AJ10" s="4">
        <v>8.08</v>
      </c>
      <c r="AK10" s="5">
        <v>23.22</v>
      </c>
      <c r="AL10" s="84"/>
      <c r="AM10" s="78"/>
      <c r="AN10" s="721">
        <v>1029</v>
      </c>
      <c r="AO10" s="722">
        <v>1392.4</v>
      </c>
      <c r="AP10" s="718">
        <v>19.55</v>
      </c>
      <c r="AQ10" s="79">
        <v>61.13</v>
      </c>
      <c r="AR10" s="80">
        <v>131.32</v>
      </c>
      <c r="AS10" s="81">
        <v>314.48</v>
      </c>
      <c r="AT10" s="282">
        <v>20.27</v>
      </c>
      <c r="AU10" s="911">
        <v>74.540000000000006</v>
      </c>
      <c r="AV10" s="266">
        <f t="shared" si="0"/>
        <v>5259.8399999999992</v>
      </c>
      <c r="AW10" s="912">
        <f t="shared" si="1"/>
        <v>8114.5400000000027</v>
      </c>
      <c r="AX10" s="4">
        <v>25909.79</v>
      </c>
      <c r="AY10" s="5">
        <v>36011.03</v>
      </c>
      <c r="AZ10" s="68">
        <f t="shared" si="2"/>
        <v>31169.63</v>
      </c>
      <c r="BA10" s="76">
        <f t="shared" si="3"/>
        <v>44125.57</v>
      </c>
    </row>
    <row r="11" spans="1:53" s="77" customFormat="1" x14ac:dyDescent="0.25">
      <c r="A11" s="85" t="s">
        <v>9</v>
      </c>
      <c r="B11" s="68"/>
      <c r="C11" s="905"/>
      <c r="D11" s="4"/>
      <c r="E11" s="6"/>
      <c r="F11" s="4"/>
      <c r="G11" s="5"/>
      <c r="H11" s="4"/>
      <c r="I11" s="6"/>
      <c r="J11" s="26"/>
      <c r="K11" s="5"/>
      <c r="L11" s="4"/>
      <c r="M11" s="5"/>
      <c r="N11" s="4"/>
      <c r="O11" s="5"/>
      <c r="P11" s="4"/>
      <c r="Q11" s="5"/>
      <c r="R11" s="4"/>
      <c r="S11" s="6"/>
      <c r="T11" s="4"/>
      <c r="U11" s="6"/>
      <c r="V11" s="4"/>
      <c r="W11" s="5"/>
      <c r="X11" s="4">
        <f>2+2</f>
        <v>4</v>
      </c>
      <c r="Y11" s="5"/>
      <c r="Z11" s="71"/>
      <c r="AA11" s="72"/>
      <c r="AB11" s="282"/>
      <c r="AC11" s="324"/>
      <c r="AD11" s="82"/>
      <c r="AE11" s="83"/>
      <c r="AF11" s="4"/>
      <c r="AG11" s="5"/>
      <c r="AH11" s="4"/>
      <c r="AI11" s="5"/>
      <c r="AJ11" s="4"/>
      <c r="AK11" s="5"/>
      <c r="AL11" s="84"/>
      <c r="AM11" s="78"/>
      <c r="AN11" s="907"/>
      <c r="AO11" s="909"/>
      <c r="AP11" s="718"/>
      <c r="AQ11" s="79"/>
      <c r="AR11" s="80"/>
      <c r="AS11" s="81"/>
      <c r="AT11" s="4"/>
      <c r="AU11" s="78"/>
      <c r="AV11" s="266">
        <f t="shared" si="0"/>
        <v>4</v>
      </c>
      <c r="AW11" s="912">
        <f t="shared" si="1"/>
        <v>0</v>
      </c>
      <c r="AX11" s="4"/>
      <c r="AY11" s="5"/>
      <c r="AZ11" s="68">
        <f t="shared" si="2"/>
        <v>4</v>
      </c>
      <c r="BA11" s="76">
        <f t="shared" si="3"/>
        <v>0</v>
      </c>
    </row>
    <row r="12" spans="1:53" s="370" customFormat="1" x14ac:dyDescent="0.25">
      <c r="A12" s="358" t="s">
        <v>10</v>
      </c>
      <c r="B12" s="362">
        <f>SUM(B5:B11)</f>
        <v>301.39999999999998</v>
      </c>
      <c r="C12" s="365">
        <f>SUM(C5:C11)</f>
        <v>884.54</v>
      </c>
      <c r="D12" s="362">
        <f t="shared" ref="D12:Q12" si="4">SUM(D5:D11)</f>
        <v>4.1900000000000004</v>
      </c>
      <c r="E12" s="364">
        <f t="shared" si="4"/>
        <v>0.31</v>
      </c>
      <c r="F12" s="362">
        <f t="shared" si="4"/>
        <v>13.280000000000001</v>
      </c>
      <c r="G12" s="363">
        <f t="shared" si="4"/>
        <v>28.76</v>
      </c>
      <c r="H12" s="362">
        <f t="shared" si="4"/>
        <v>762</v>
      </c>
      <c r="I12" s="364">
        <f t="shared" si="4"/>
        <v>1913.25</v>
      </c>
      <c r="J12" s="363">
        <f t="shared" si="4"/>
        <v>31.45</v>
      </c>
      <c r="K12" s="363">
        <f t="shared" si="4"/>
        <v>48.150000000000006</v>
      </c>
      <c r="L12" s="362">
        <f t="shared" si="4"/>
        <v>555.68000000000006</v>
      </c>
      <c r="M12" s="363">
        <f t="shared" si="4"/>
        <v>325.8</v>
      </c>
      <c r="N12" s="362">
        <f t="shared" si="4"/>
        <v>29.419999999999998</v>
      </c>
      <c r="O12" s="366">
        <f t="shared" si="4"/>
        <v>66.510000000000005</v>
      </c>
      <c r="P12" s="362">
        <f t="shared" si="4"/>
        <v>3.6100000000000003</v>
      </c>
      <c r="Q12" s="363">
        <f t="shared" si="4"/>
        <v>2.6</v>
      </c>
      <c r="R12" s="362">
        <f t="shared" ref="R12:AG12" si="5">SUM(R5:R11)</f>
        <v>35.299999999999997</v>
      </c>
      <c r="S12" s="368">
        <f t="shared" si="5"/>
        <v>24.429999999999996</v>
      </c>
      <c r="T12" s="362">
        <f t="shared" si="5"/>
        <v>62.14</v>
      </c>
      <c r="U12" s="364">
        <f t="shared" si="5"/>
        <v>112.86999999999999</v>
      </c>
      <c r="V12" s="362">
        <f t="shared" si="5"/>
        <v>1912.73</v>
      </c>
      <c r="W12" s="363">
        <f t="shared" si="5"/>
        <v>2547.8599999999997</v>
      </c>
      <c r="X12" s="362">
        <f t="shared" si="5"/>
        <v>1232</v>
      </c>
      <c r="Y12" s="363">
        <f t="shared" si="5"/>
        <v>1704.92</v>
      </c>
      <c r="Z12" s="362">
        <f t="shared" si="5"/>
        <v>19.73</v>
      </c>
      <c r="AA12" s="363">
        <f t="shared" si="5"/>
        <v>38.74</v>
      </c>
      <c r="AB12" s="362">
        <f t="shared" si="5"/>
        <v>272.87</v>
      </c>
      <c r="AC12" s="366">
        <f t="shared" si="5"/>
        <v>193.47</v>
      </c>
      <c r="AD12" s="363">
        <f t="shared" si="5"/>
        <v>330.47</v>
      </c>
      <c r="AE12" s="363">
        <f t="shared" si="5"/>
        <v>678.43000000000006</v>
      </c>
      <c r="AF12" s="362">
        <f t="shared" si="5"/>
        <v>166.43</v>
      </c>
      <c r="AG12" s="363">
        <f t="shared" si="5"/>
        <v>135.29000000000002</v>
      </c>
      <c r="AH12" s="362">
        <f t="shared" ref="AH12:AU12" si="6">SUM(AH5:AH11)</f>
        <v>92.31</v>
      </c>
      <c r="AI12" s="363">
        <f t="shared" si="6"/>
        <v>171.01</v>
      </c>
      <c r="AJ12" s="362">
        <f t="shared" si="6"/>
        <v>8.11</v>
      </c>
      <c r="AK12" s="363">
        <f t="shared" si="6"/>
        <v>23.259999999999998</v>
      </c>
      <c r="AL12" s="362">
        <f t="shared" si="6"/>
        <v>0</v>
      </c>
      <c r="AM12" s="365">
        <f t="shared" si="6"/>
        <v>0</v>
      </c>
      <c r="AN12" s="362">
        <f t="shared" si="6"/>
        <v>1509</v>
      </c>
      <c r="AO12" s="368">
        <f t="shared" si="6"/>
        <v>2160.9700000000003</v>
      </c>
      <c r="AP12" s="363">
        <f t="shared" si="6"/>
        <v>54.22</v>
      </c>
      <c r="AQ12" s="363">
        <f t="shared" si="6"/>
        <v>92.91</v>
      </c>
      <c r="AR12" s="362">
        <f t="shared" si="6"/>
        <v>170.48</v>
      </c>
      <c r="AS12" s="363">
        <f t="shared" si="6"/>
        <v>383.94000000000005</v>
      </c>
      <c r="AT12" s="362">
        <f t="shared" si="6"/>
        <v>30.64</v>
      </c>
      <c r="AU12" s="367">
        <f t="shared" si="6"/>
        <v>114.47</v>
      </c>
      <c r="AV12" s="266">
        <f t="shared" si="0"/>
        <v>7598.9599999999991</v>
      </c>
      <c r="AW12" s="912">
        <f t="shared" si="1"/>
        <v>12231.690000000002</v>
      </c>
      <c r="AX12" s="369">
        <f>SUM(AX5:AX11)</f>
        <v>27589.11</v>
      </c>
      <c r="AY12" s="369">
        <f>SUM(AY5:AY11)</f>
        <v>37284</v>
      </c>
      <c r="AZ12" s="362">
        <f t="shared" si="2"/>
        <v>35188.07</v>
      </c>
      <c r="BA12" s="368">
        <f t="shared" si="3"/>
        <v>49515.69</v>
      </c>
    </row>
    <row r="13" spans="1:53" s="77" customFormat="1" x14ac:dyDescent="0.25">
      <c r="A13" s="85" t="s">
        <v>11</v>
      </c>
      <c r="B13" s="281"/>
      <c r="C13" s="906"/>
      <c r="D13" s="4"/>
      <c r="E13" s="6"/>
      <c r="F13" s="4"/>
      <c r="G13" s="5"/>
      <c r="H13" s="4"/>
      <c r="I13" s="6"/>
      <c r="J13" s="26"/>
      <c r="K13" s="5"/>
      <c r="L13" s="4"/>
      <c r="M13" s="5"/>
      <c r="N13" s="4"/>
      <c r="O13" s="5"/>
      <c r="P13" s="4"/>
      <c r="Q13" s="5"/>
      <c r="R13" s="7"/>
      <c r="S13" s="9"/>
      <c r="T13" s="7"/>
      <c r="U13" s="9"/>
      <c r="V13" s="7"/>
      <c r="W13" s="8"/>
      <c r="X13" s="7"/>
      <c r="Y13" s="8"/>
      <c r="Z13" s="7"/>
      <c r="AA13" s="8"/>
      <c r="AB13" s="282"/>
      <c r="AC13" s="324"/>
      <c r="AD13" s="26"/>
      <c r="AE13" s="5"/>
      <c r="AF13" s="4"/>
      <c r="AG13" s="5"/>
      <c r="AH13" s="4"/>
      <c r="AI13" s="5">
        <v>3.0000000000000001E-3</v>
      </c>
      <c r="AJ13" s="4"/>
      <c r="AK13" s="5"/>
      <c r="AL13" s="84"/>
      <c r="AM13" s="78"/>
      <c r="AN13" s="723"/>
      <c r="AO13" s="908"/>
      <c r="AP13" s="718"/>
      <c r="AQ13" s="79"/>
      <c r="AR13" s="80"/>
      <c r="AS13" s="81"/>
      <c r="AT13" s="4"/>
      <c r="AU13" s="78"/>
      <c r="AV13" s="266">
        <f t="shared" si="0"/>
        <v>0</v>
      </c>
      <c r="AW13" s="912">
        <f t="shared" si="1"/>
        <v>3.0000000000000001E-3</v>
      </c>
      <c r="AX13" s="80"/>
      <c r="AY13" s="81"/>
      <c r="AZ13" s="68">
        <f t="shared" si="2"/>
        <v>0</v>
      </c>
      <c r="BA13" s="76">
        <f t="shared" si="3"/>
        <v>3.0000000000000001E-3</v>
      </c>
    </row>
    <row r="14" spans="1:53" s="370" customFormat="1" ht="14.25" thickBot="1" x14ac:dyDescent="0.3">
      <c r="A14" s="360" t="s">
        <v>12</v>
      </c>
      <c r="B14" s="371">
        <f>B12+B13</f>
        <v>301.39999999999998</v>
      </c>
      <c r="C14" s="374">
        <f t="shared" ref="C14:AH14" si="7">C12+C13</f>
        <v>884.54</v>
      </c>
      <c r="D14" s="371">
        <f t="shared" si="7"/>
        <v>4.1900000000000004</v>
      </c>
      <c r="E14" s="373">
        <f t="shared" si="7"/>
        <v>0.31</v>
      </c>
      <c r="F14" s="371">
        <f t="shared" si="7"/>
        <v>13.280000000000001</v>
      </c>
      <c r="G14" s="372">
        <f t="shared" si="7"/>
        <v>28.76</v>
      </c>
      <c r="H14" s="371">
        <f t="shared" si="7"/>
        <v>762</v>
      </c>
      <c r="I14" s="373">
        <f t="shared" si="7"/>
        <v>1913.25</v>
      </c>
      <c r="J14" s="372">
        <f t="shared" si="7"/>
        <v>31.45</v>
      </c>
      <c r="K14" s="372">
        <f t="shared" si="7"/>
        <v>48.150000000000006</v>
      </c>
      <c r="L14" s="371">
        <f t="shared" si="7"/>
        <v>555.68000000000006</v>
      </c>
      <c r="M14" s="372">
        <f t="shared" si="7"/>
        <v>325.8</v>
      </c>
      <c r="N14" s="371">
        <f t="shared" si="7"/>
        <v>29.419999999999998</v>
      </c>
      <c r="O14" s="375">
        <f t="shared" si="7"/>
        <v>66.510000000000005</v>
      </c>
      <c r="P14" s="371">
        <f>P12+P13</f>
        <v>3.6100000000000003</v>
      </c>
      <c r="Q14" s="372">
        <f>Q12+Q13</f>
        <v>2.6</v>
      </c>
      <c r="R14" s="371">
        <f t="shared" si="7"/>
        <v>35.299999999999997</v>
      </c>
      <c r="S14" s="377">
        <f t="shared" si="7"/>
        <v>24.429999999999996</v>
      </c>
      <c r="T14" s="371">
        <f t="shared" si="7"/>
        <v>62.14</v>
      </c>
      <c r="U14" s="373">
        <f t="shared" si="7"/>
        <v>112.86999999999999</v>
      </c>
      <c r="V14" s="371">
        <f t="shared" si="7"/>
        <v>1912.73</v>
      </c>
      <c r="W14" s="372">
        <f t="shared" si="7"/>
        <v>2547.8599999999997</v>
      </c>
      <c r="X14" s="371">
        <f t="shared" si="7"/>
        <v>1232</v>
      </c>
      <c r="Y14" s="372">
        <f t="shared" si="7"/>
        <v>1704.92</v>
      </c>
      <c r="Z14" s="371">
        <f t="shared" si="7"/>
        <v>19.73</v>
      </c>
      <c r="AA14" s="372">
        <f t="shared" si="7"/>
        <v>38.74</v>
      </c>
      <c r="AB14" s="371">
        <f t="shared" si="7"/>
        <v>272.87</v>
      </c>
      <c r="AC14" s="375">
        <f t="shared" si="7"/>
        <v>193.47</v>
      </c>
      <c r="AD14" s="372">
        <f t="shared" si="7"/>
        <v>330.47</v>
      </c>
      <c r="AE14" s="372">
        <f t="shared" si="7"/>
        <v>678.43000000000006</v>
      </c>
      <c r="AF14" s="371">
        <f t="shared" si="7"/>
        <v>166.43</v>
      </c>
      <c r="AG14" s="372">
        <f t="shared" si="7"/>
        <v>135.29000000000002</v>
      </c>
      <c r="AH14" s="371">
        <f t="shared" si="7"/>
        <v>92.31</v>
      </c>
      <c r="AI14" s="372">
        <f t="shared" ref="AI14:AU14" si="8">AI12+AI13</f>
        <v>171.01299999999998</v>
      </c>
      <c r="AJ14" s="371">
        <f t="shared" si="8"/>
        <v>8.11</v>
      </c>
      <c r="AK14" s="372">
        <f t="shared" si="8"/>
        <v>23.259999999999998</v>
      </c>
      <c r="AL14" s="371">
        <f t="shared" si="8"/>
        <v>0</v>
      </c>
      <c r="AM14" s="374">
        <f t="shared" si="8"/>
        <v>0</v>
      </c>
      <c r="AN14" s="371">
        <f t="shared" si="8"/>
        <v>1509</v>
      </c>
      <c r="AO14" s="377">
        <f t="shared" si="8"/>
        <v>2160.9700000000003</v>
      </c>
      <c r="AP14" s="372">
        <f t="shared" si="8"/>
        <v>54.22</v>
      </c>
      <c r="AQ14" s="372">
        <f t="shared" si="8"/>
        <v>92.91</v>
      </c>
      <c r="AR14" s="371">
        <f t="shared" si="8"/>
        <v>170.48</v>
      </c>
      <c r="AS14" s="372">
        <f t="shared" si="8"/>
        <v>383.94000000000005</v>
      </c>
      <c r="AT14" s="371">
        <f t="shared" si="8"/>
        <v>30.64</v>
      </c>
      <c r="AU14" s="376">
        <f t="shared" si="8"/>
        <v>114.47</v>
      </c>
      <c r="AV14" s="913">
        <f t="shared" si="0"/>
        <v>7598.9599999999991</v>
      </c>
      <c r="AW14" s="914">
        <f t="shared" si="1"/>
        <v>12231.693000000003</v>
      </c>
      <c r="AX14" s="378">
        <f>AX12+AX13</f>
        <v>27589.11</v>
      </c>
      <c r="AY14" s="378">
        <f>AY12+AY13</f>
        <v>37284</v>
      </c>
      <c r="AZ14" s="371">
        <f t="shared" si="2"/>
        <v>35188.07</v>
      </c>
      <c r="BA14" s="377">
        <f t="shared" si="3"/>
        <v>49515.692999999999</v>
      </c>
    </row>
  </sheetData>
  <mergeCells count="29">
    <mergeCell ref="A1:BA1"/>
    <mergeCell ref="A2:BA2"/>
    <mergeCell ref="A3:A4"/>
    <mergeCell ref="N3:O3"/>
    <mergeCell ref="P3:Q3"/>
    <mergeCell ref="AZ3:BA3"/>
    <mergeCell ref="AJ3:AK3"/>
    <mergeCell ref="AL3:AM3"/>
    <mergeCell ref="AN3:AO3"/>
    <mergeCell ref="AH3:AI3"/>
    <mergeCell ref="AX3:AY3"/>
    <mergeCell ref="AB3:AC3"/>
    <mergeCell ref="AD3:AE3"/>
    <mergeCell ref="AF3:AG3"/>
    <mergeCell ref="AT3:AU3"/>
    <mergeCell ref="AV3:AW3"/>
    <mergeCell ref="AR3:AS3"/>
    <mergeCell ref="AP3:AQ3"/>
    <mergeCell ref="X3:Y3"/>
    <mergeCell ref="Z3:AA3"/>
    <mergeCell ref="V3:W3"/>
    <mergeCell ref="B3:C3"/>
    <mergeCell ref="D3:E3"/>
    <mergeCell ref="R3:S3"/>
    <mergeCell ref="T3:U3"/>
    <mergeCell ref="F3:G3"/>
    <mergeCell ref="H3:I3"/>
    <mergeCell ref="J3:K3"/>
    <mergeCell ref="L3:M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BA18"/>
  <sheetViews>
    <sheetView workbookViewId="0">
      <pane xSplit="1" topLeftCell="B1" activePane="topRight" state="frozen"/>
      <selection pane="topRight" activeCell="AY11" sqref="AY11"/>
    </sheetView>
  </sheetViews>
  <sheetFormatPr defaultRowHeight="14.25" x14ac:dyDescent="0.3"/>
  <cols>
    <col min="1" max="1" width="23.7109375" style="11" bestFit="1" customWidth="1"/>
    <col min="2" max="15" width="11.7109375" style="11" bestFit="1" customWidth="1"/>
    <col min="16" max="16" width="9" style="31" customWidth="1"/>
    <col min="17" max="17" width="9.28515625" style="31" customWidth="1"/>
    <col min="18" max="19" width="11.7109375" style="11" bestFit="1" customWidth="1"/>
    <col min="20" max="20" width="9.85546875" style="11" customWidth="1"/>
    <col min="21" max="25" width="11.7109375" style="11" bestFit="1" customWidth="1"/>
    <col min="26" max="27" width="11.7109375" style="31" bestFit="1" customWidth="1"/>
    <col min="28" max="41" width="11.7109375" style="11" bestFit="1" customWidth="1"/>
    <col min="42" max="42" width="10.42578125" style="11" customWidth="1"/>
    <col min="43" max="43" width="10.5703125" style="11" customWidth="1"/>
    <col min="44" max="53" width="11.7109375" style="11" bestFit="1" customWidth="1"/>
    <col min="54" max="16384" width="9.140625" style="11"/>
  </cols>
  <sheetData>
    <row r="1" spans="1:53" x14ac:dyDescent="0.3">
      <c r="A1" s="1376" t="s">
        <v>13</v>
      </c>
      <c r="B1" s="1376"/>
      <c r="C1" s="1376"/>
      <c r="D1" s="1376"/>
      <c r="E1" s="1376"/>
      <c r="F1" s="1376"/>
      <c r="G1" s="1376"/>
      <c r="H1" s="1376"/>
      <c r="I1" s="1376"/>
      <c r="J1" s="1376"/>
      <c r="K1" s="1376"/>
      <c r="L1" s="1376"/>
      <c r="M1" s="1376"/>
      <c r="N1" s="1376"/>
      <c r="O1" s="1376"/>
      <c r="P1" s="1376"/>
      <c r="Q1" s="1376"/>
      <c r="R1" s="1376"/>
      <c r="S1" s="1376"/>
      <c r="T1" s="1376"/>
      <c r="U1" s="1376"/>
      <c r="V1" s="1376"/>
      <c r="W1" s="1376"/>
      <c r="X1" s="1376"/>
      <c r="Y1" s="1376"/>
      <c r="Z1" s="1376"/>
      <c r="AA1" s="1376"/>
      <c r="AB1" s="1376"/>
      <c r="AC1" s="1376"/>
      <c r="AD1" s="1376"/>
      <c r="AE1" s="1376"/>
      <c r="AF1" s="1376"/>
      <c r="AG1" s="1376"/>
      <c r="AH1" s="1376"/>
      <c r="AI1" s="1376"/>
      <c r="AJ1" s="1376"/>
      <c r="AK1" s="1376"/>
      <c r="AL1" s="1376"/>
      <c r="AM1" s="1376"/>
      <c r="AN1" s="1376"/>
      <c r="AO1" s="1376"/>
      <c r="AP1" s="1376"/>
      <c r="AQ1" s="1376"/>
      <c r="AR1" s="1376"/>
      <c r="AS1" s="1376"/>
      <c r="AT1" s="1376"/>
      <c r="AU1" s="1376"/>
      <c r="AV1" s="1376"/>
      <c r="AW1" s="1376"/>
      <c r="AX1" s="1376"/>
      <c r="AY1" s="1376"/>
      <c r="AZ1" s="1376"/>
      <c r="BA1" s="1376"/>
    </row>
    <row r="2" spans="1:53" ht="15" thickBot="1" x14ac:dyDescent="0.35">
      <c r="A2" s="1349"/>
      <c r="B2" s="1349"/>
      <c r="C2" s="1349"/>
      <c r="D2" s="1349"/>
      <c r="E2" s="1349"/>
      <c r="F2" s="1349"/>
      <c r="G2" s="1349"/>
      <c r="H2" s="1349"/>
      <c r="I2" s="1349"/>
      <c r="J2" s="1349"/>
      <c r="K2" s="1349"/>
      <c r="L2" s="1349"/>
      <c r="M2" s="1349"/>
      <c r="N2" s="1349"/>
      <c r="O2" s="1349"/>
      <c r="P2" s="1349"/>
      <c r="Q2" s="1349"/>
      <c r="R2" s="1349"/>
      <c r="S2" s="1349"/>
      <c r="T2" s="1349"/>
      <c r="U2" s="1349"/>
      <c r="V2" s="1349"/>
      <c r="W2" s="1349"/>
      <c r="X2" s="1349"/>
      <c r="Y2" s="1349"/>
      <c r="Z2" s="1349"/>
      <c r="AA2" s="1349"/>
      <c r="AB2" s="1349"/>
      <c r="AC2" s="1349"/>
      <c r="AD2" s="1349"/>
      <c r="AE2" s="1349"/>
      <c r="AF2" s="1349"/>
      <c r="AG2" s="1349"/>
      <c r="AH2" s="1349"/>
      <c r="AI2" s="1349"/>
      <c r="AJ2" s="1349"/>
      <c r="AK2" s="1349"/>
      <c r="AL2" s="1349"/>
      <c r="AM2" s="1349"/>
      <c r="AN2" s="1349"/>
      <c r="AO2" s="1349"/>
      <c r="AP2" s="1349"/>
      <c r="AQ2" s="1349"/>
      <c r="AR2" s="1349"/>
      <c r="AS2" s="1349"/>
      <c r="AT2" s="1349"/>
      <c r="AU2" s="1349"/>
      <c r="AV2" s="1349"/>
      <c r="AW2" s="1349"/>
      <c r="AX2" s="1349"/>
      <c r="AY2" s="1349"/>
      <c r="AZ2" s="1349"/>
      <c r="BA2" s="1349"/>
    </row>
    <row r="3" spans="1:53" s="918" customFormat="1" ht="44.25" customHeight="1" thickBot="1" x14ac:dyDescent="0.3">
      <c r="A3" s="1396" t="s">
        <v>0</v>
      </c>
      <c r="B3" s="1401" t="s">
        <v>159</v>
      </c>
      <c r="C3" s="1402"/>
      <c r="D3" s="1401" t="s">
        <v>160</v>
      </c>
      <c r="E3" s="1403"/>
      <c r="F3" s="1401" t="s">
        <v>161</v>
      </c>
      <c r="G3" s="1403"/>
      <c r="H3" s="1401" t="s">
        <v>162</v>
      </c>
      <c r="I3" s="1403"/>
      <c r="J3" s="1401" t="s">
        <v>163</v>
      </c>
      <c r="K3" s="1404"/>
      <c r="L3" s="1401" t="s">
        <v>164</v>
      </c>
      <c r="M3" s="1403"/>
      <c r="N3" s="1401" t="s">
        <v>315</v>
      </c>
      <c r="O3" s="1403"/>
      <c r="P3" s="1411" t="s">
        <v>165</v>
      </c>
      <c r="Q3" s="1412"/>
      <c r="R3" s="1408" t="s">
        <v>166</v>
      </c>
      <c r="S3" s="1406"/>
      <c r="T3" s="1405" t="s">
        <v>167</v>
      </c>
      <c r="U3" s="1406"/>
      <c r="V3" s="1405" t="s">
        <v>168</v>
      </c>
      <c r="W3" s="1406"/>
      <c r="X3" s="1405" t="s">
        <v>169</v>
      </c>
      <c r="Y3" s="1407"/>
      <c r="Z3" s="1409" t="s">
        <v>325</v>
      </c>
      <c r="AA3" s="1410"/>
      <c r="AB3" s="1421" t="s">
        <v>170</v>
      </c>
      <c r="AC3" s="1422"/>
      <c r="AD3" s="1423" t="s">
        <v>171</v>
      </c>
      <c r="AE3" s="1424"/>
      <c r="AF3" s="1421" t="s">
        <v>172</v>
      </c>
      <c r="AG3" s="1414"/>
      <c r="AH3" s="1413" t="s">
        <v>173</v>
      </c>
      <c r="AI3" s="1414"/>
      <c r="AJ3" s="1413" t="s">
        <v>174</v>
      </c>
      <c r="AK3" s="1414"/>
      <c r="AL3" s="1415" t="s">
        <v>175</v>
      </c>
      <c r="AM3" s="1416"/>
      <c r="AN3" s="1405" t="s">
        <v>176</v>
      </c>
      <c r="AO3" s="1406"/>
      <c r="AP3" s="1405" t="s">
        <v>177</v>
      </c>
      <c r="AQ3" s="1406"/>
      <c r="AR3" s="1405" t="s">
        <v>178</v>
      </c>
      <c r="AS3" s="1406"/>
      <c r="AT3" s="1405" t="s">
        <v>179</v>
      </c>
      <c r="AU3" s="1417"/>
      <c r="AV3" s="1408" t="s">
        <v>1</v>
      </c>
      <c r="AW3" s="1417"/>
      <c r="AX3" s="1418" t="s">
        <v>180</v>
      </c>
      <c r="AY3" s="1420"/>
      <c r="AZ3" s="1418" t="s">
        <v>2</v>
      </c>
      <c r="BA3" s="1419"/>
    </row>
    <row r="4" spans="1:53" s="359" customFormat="1" ht="15" thickBot="1" x14ac:dyDescent="0.35">
      <c r="A4" s="1397"/>
      <c r="B4" s="903" t="s">
        <v>321</v>
      </c>
      <c r="C4" s="442" t="s">
        <v>383</v>
      </c>
      <c r="D4" s="903" t="s">
        <v>321</v>
      </c>
      <c r="E4" s="442" t="s">
        <v>383</v>
      </c>
      <c r="F4" s="903" t="s">
        <v>321</v>
      </c>
      <c r="G4" s="442" t="s">
        <v>383</v>
      </c>
      <c r="H4" s="903" t="s">
        <v>321</v>
      </c>
      <c r="I4" s="442" t="s">
        <v>383</v>
      </c>
      <c r="J4" s="903" t="s">
        <v>321</v>
      </c>
      <c r="K4" s="442" t="s">
        <v>383</v>
      </c>
      <c r="L4" s="903" t="s">
        <v>321</v>
      </c>
      <c r="M4" s="442" t="s">
        <v>383</v>
      </c>
      <c r="N4" s="903" t="s">
        <v>321</v>
      </c>
      <c r="O4" s="442" t="s">
        <v>383</v>
      </c>
      <c r="P4" s="903" t="s">
        <v>321</v>
      </c>
      <c r="Q4" s="442" t="s">
        <v>383</v>
      </c>
      <c r="R4" s="903" t="s">
        <v>321</v>
      </c>
      <c r="S4" s="442" t="s">
        <v>383</v>
      </c>
      <c r="T4" s="903" t="s">
        <v>321</v>
      </c>
      <c r="U4" s="442" t="s">
        <v>383</v>
      </c>
      <c r="V4" s="903" t="s">
        <v>321</v>
      </c>
      <c r="W4" s="442" t="s">
        <v>383</v>
      </c>
      <c r="X4" s="903" t="s">
        <v>321</v>
      </c>
      <c r="Y4" s="442" t="s">
        <v>383</v>
      </c>
      <c r="Z4" s="903" t="s">
        <v>321</v>
      </c>
      <c r="AA4" s="442" t="s">
        <v>383</v>
      </c>
      <c r="AB4" s="903" t="s">
        <v>321</v>
      </c>
      <c r="AC4" s="442" t="s">
        <v>383</v>
      </c>
      <c r="AD4" s="903" t="s">
        <v>321</v>
      </c>
      <c r="AE4" s="442" t="s">
        <v>383</v>
      </c>
      <c r="AF4" s="903" t="s">
        <v>321</v>
      </c>
      <c r="AG4" s="442" t="s">
        <v>383</v>
      </c>
      <c r="AH4" s="903" t="s">
        <v>321</v>
      </c>
      <c r="AI4" s="442" t="s">
        <v>383</v>
      </c>
      <c r="AJ4" s="903" t="s">
        <v>321</v>
      </c>
      <c r="AK4" s="442" t="s">
        <v>383</v>
      </c>
      <c r="AL4" s="903" t="s">
        <v>321</v>
      </c>
      <c r="AM4" s="442" t="s">
        <v>383</v>
      </c>
      <c r="AN4" s="903" t="s">
        <v>321</v>
      </c>
      <c r="AO4" s="442" t="s">
        <v>383</v>
      </c>
      <c r="AP4" s="903" t="s">
        <v>321</v>
      </c>
      <c r="AQ4" s="442" t="s">
        <v>383</v>
      </c>
      <c r="AR4" s="903" t="s">
        <v>321</v>
      </c>
      <c r="AS4" s="442" t="s">
        <v>383</v>
      </c>
      <c r="AT4" s="903" t="s">
        <v>321</v>
      </c>
      <c r="AU4" s="442" t="s">
        <v>383</v>
      </c>
      <c r="AV4" s="903" t="s">
        <v>321</v>
      </c>
      <c r="AW4" s="442" t="s">
        <v>383</v>
      </c>
      <c r="AX4" s="903" t="s">
        <v>321</v>
      </c>
      <c r="AY4" s="442" t="s">
        <v>383</v>
      </c>
      <c r="AZ4" s="903" t="s">
        <v>321</v>
      </c>
      <c r="BA4" s="442" t="s">
        <v>383</v>
      </c>
    </row>
    <row r="5" spans="1:53" s="607" customFormat="1" ht="13.5" x14ac:dyDescent="0.25">
      <c r="A5" s="290" t="s">
        <v>3</v>
      </c>
      <c r="B5" s="438">
        <v>3586</v>
      </c>
      <c r="C5" s="613">
        <v>1513</v>
      </c>
      <c r="D5" s="438"/>
      <c r="E5" s="436"/>
      <c r="F5" s="438">
        <v>122</v>
      </c>
      <c r="G5" s="435">
        <v>31</v>
      </c>
      <c r="H5" s="438">
        <v>764</v>
      </c>
      <c r="I5" s="435">
        <v>635</v>
      </c>
      <c r="J5" s="438"/>
      <c r="K5" s="435"/>
      <c r="L5" s="438"/>
      <c r="M5" s="435"/>
      <c r="N5" s="438"/>
      <c r="O5" s="435"/>
      <c r="P5" s="438">
        <v>38</v>
      </c>
      <c r="Q5" s="435"/>
      <c r="R5" s="438"/>
      <c r="S5" s="435"/>
      <c r="T5" s="434">
        <v>288</v>
      </c>
      <c r="U5" s="613">
        <v>4</v>
      </c>
      <c r="V5" s="922">
        <v>403</v>
      </c>
      <c r="W5" s="923">
        <v>1485</v>
      </c>
      <c r="X5" s="434">
        <v>24832</v>
      </c>
      <c r="Y5" s="613">
        <v>32656</v>
      </c>
      <c r="Z5" s="438"/>
      <c r="AA5" s="436"/>
      <c r="AB5" s="285"/>
      <c r="AC5" s="932"/>
      <c r="AD5" s="438">
        <v>887</v>
      </c>
      <c r="AE5" s="436">
        <v>-524</v>
      </c>
      <c r="AF5" s="434">
        <v>95</v>
      </c>
      <c r="AG5" s="435">
        <v>665</v>
      </c>
      <c r="AH5" s="434">
        <v>37</v>
      </c>
      <c r="AI5" s="435">
        <v>20</v>
      </c>
      <c r="AJ5" s="434"/>
      <c r="AK5" s="435"/>
      <c r="AL5" s="434"/>
      <c r="AM5" s="435"/>
      <c r="AN5" s="614">
        <v>5239</v>
      </c>
      <c r="AO5" s="604">
        <v>44500</v>
      </c>
      <c r="AP5" s="434"/>
      <c r="AQ5" s="435"/>
      <c r="AR5" s="434"/>
      <c r="AS5" s="435"/>
      <c r="AT5" s="434">
        <v>2107</v>
      </c>
      <c r="AU5" s="435">
        <v>3016</v>
      </c>
      <c r="AV5" s="438">
        <f t="shared" ref="AV5:AV14" si="0">SUM(B5+D5+F5+H5+J5+L5+N5+P5+R5+T5+V5+X5+Z5+P5+AD5+AF5+AH5+AJ5+AL5+AN5+AP5+AR5+AT5)</f>
        <v>38436</v>
      </c>
      <c r="AW5" s="434">
        <f t="shared" ref="AW5:AW14" si="1">SUM(C5+E5+G5+I5+K5+M5+O5+Q5+S5+U5+W5+Y5+AA5+Q5+AE5+AG5+AI5+AK5+AM5+AO5+AQ5+AS5+AU5)</f>
        <v>84001</v>
      </c>
      <c r="AX5" s="434">
        <v>154989</v>
      </c>
      <c r="AY5" s="613">
        <v>213798</v>
      </c>
      <c r="AZ5" s="438">
        <f t="shared" ref="AZ5:AZ14" si="2">AV5+AX5</f>
        <v>193425</v>
      </c>
      <c r="BA5" s="615">
        <f t="shared" ref="BA5:BA14" si="3">AW5+AY5</f>
        <v>297799</v>
      </c>
    </row>
    <row r="6" spans="1:53" s="607" customFormat="1" ht="13.5" x14ac:dyDescent="0.25">
      <c r="A6" s="290" t="s">
        <v>4</v>
      </c>
      <c r="B6" s="13">
        <v>1119</v>
      </c>
      <c r="C6" s="919">
        <v>156517</v>
      </c>
      <c r="D6" s="25"/>
      <c r="E6" s="28"/>
      <c r="F6" s="25">
        <v>255</v>
      </c>
      <c r="G6" s="24">
        <v>17697</v>
      </c>
      <c r="H6" s="25">
        <v>1567018</v>
      </c>
      <c r="I6" s="24">
        <v>1836529</v>
      </c>
      <c r="J6" s="25">
        <v>12042</v>
      </c>
      <c r="K6" s="24">
        <v>65946</v>
      </c>
      <c r="L6" s="25">
        <v>3290658</v>
      </c>
      <c r="M6" s="24">
        <v>3441828</v>
      </c>
      <c r="N6" s="25">
        <v>1</v>
      </c>
      <c r="O6" s="24"/>
      <c r="P6" s="25">
        <v>29612</v>
      </c>
      <c r="Q6" s="24">
        <v>9801</v>
      </c>
      <c r="R6" s="25">
        <v>81</v>
      </c>
      <c r="S6" s="24">
        <v>69</v>
      </c>
      <c r="T6" s="27">
        <v>4049</v>
      </c>
      <c r="U6" s="724">
        <v>834</v>
      </c>
      <c r="V6" s="25">
        <v>3652145</v>
      </c>
      <c r="W6" s="611">
        <v>5822781</v>
      </c>
      <c r="X6" s="27">
        <v>263832</v>
      </c>
      <c r="Y6" s="724">
        <v>536767</v>
      </c>
      <c r="Z6" s="928">
        <v>2935</v>
      </c>
      <c r="AA6" s="929">
        <v>5265</v>
      </c>
      <c r="AB6" s="25">
        <v>18345</v>
      </c>
      <c r="AC6" s="724">
        <v>22696</v>
      </c>
      <c r="AD6" s="25">
        <v>445422</v>
      </c>
      <c r="AE6" s="28">
        <v>625123</v>
      </c>
      <c r="AF6" s="27">
        <v>500949</v>
      </c>
      <c r="AG6" s="24">
        <v>622070</v>
      </c>
      <c r="AH6" s="27">
        <v>65582</v>
      </c>
      <c r="AI6" s="24">
        <v>156748</v>
      </c>
      <c r="AJ6" s="27"/>
      <c r="AK6" s="24"/>
      <c r="AL6" s="608"/>
      <c r="AM6" s="24"/>
      <c r="AN6" s="605">
        <v>140138</v>
      </c>
      <c r="AO6" s="606">
        <v>191635</v>
      </c>
      <c r="AP6" s="609"/>
      <c r="AQ6" s="610"/>
      <c r="AR6" s="22">
        <v>347501</v>
      </c>
      <c r="AS6" s="23">
        <v>640609</v>
      </c>
      <c r="AT6" s="27">
        <v>391</v>
      </c>
      <c r="AU6" s="24">
        <v>2278</v>
      </c>
      <c r="AV6" s="13">
        <f t="shared" si="0"/>
        <v>10353342</v>
      </c>
      <c r="AW6" s="14">
        <f t="shared" si="1"/>
        <v>14142298</v>
      </c>
      <c r="AX6" s="22">
        <v>15187</v>
      </c>
      <c r="AY6" s="915">
        <v>11601</v>
      </c>
      <c r="AZ6" s="13">
        <f t="shared" si="2"/>
        <v>10368529</v>
      </c>
      <c r="BA6" s="273">
        <f t="shared" si="3"/>
        <v>14153899</v>
      </c>
    </row>
    <row r="7" spans="1:53" s="607" customFormat="1" ht="13.5" x14ac:dyDescent="0.25">
      <c r="A7" s="290" t="s">
        <v>5</v>
      </c>
      <c r="B7" s="13">
        <v>97168</v>
      </c>
      <c r="C7" s="919">
        <v>271044</v>
      </c>
      <c r="D7" s="25">
        <v>223</v>
      </c>
      <c r="E7" s="28">
        <v>2379</v>
      </c>
      <c r="F7" s="25"/>
      <c r="G7" s="24"/>
      <c r="H7" s="25">
        <v>20053</v>
      </c>
      <c r="I7" s="24">
        <v>256519</v>
      </c>
      <c r="J7" s="25">
        <v>94</v>
      </c>
      <c r="K7" s="24">
        <v>2</v>
      </c>
      <c r="L7" s="25">
        <v>1480</v>
      </c>
      <c r="M7" s="24">
        <v>3676</v>
      </c>
      <c r="N7" s="25">
        <v>4811</v>
      </c>
      <c r="O7" s="24">
        <v>15870</v>
      </c>
      <c r="P7" s="25"/>
      <c r="Q7" s="24"/>
      <c r="R7" s="25"/>
      <c r="S7" s="24"/>
      <c r="T7" s="27">
        <v>32</v>
      </c>
      <c r="U7" s="724"/>
      <c r="V7" s="25">
        <v>576183</v>
      </c>
      <c r="W7" s="611">
        <v>1227745</v>
      </c>
      <c r="X7" s="27">
        <v>241717</v>
      </c>
      <c r="Y7" s="724">
        <v>344068</v>
      </c>
      <c r="Z7" s="928"/>
      <c r="AA7" s="929"/>
      <c r="AB7" s="25"/>
      <c r="AC7" s="724">
        <v>3736</v>
      </c>
      <c r="AD7" s="25">
        <v>291240</v>
      </c>
      <c r="AE7" s="28">
        <v>909315</v>
      </c>
      <c r="AF7" s="27">
        <v>1576</v>
      </c>
      <c r="AG7" s="24">
        <v>3795</v>
      </c>
      <c r="AH7" s="27">
        <v>3053</v>
      </c>
      <c r="AI7" s="24">
        <v>7765</v>
      </c>
      <c r="AJ7" s="27"/>
      <c r="AK7" s="24"/>
      <c r="AL7" s="608"/>
      <c r="AM7" s="24"/>
      <c r="AN7" s="605">
        <v>1090</v>
      </c>
      <c r="AO7" s="606">
        <v>579</v>
      </c>
      <c r="AP7" s="609">
        <v>79944</v>
      </c>
      <c r="AQ7" s="610">
        <v>194068</v>
      </c>
      <c r="AR7" s="22"/>
      <c r="AS7" s="23"/>
      <c r="AT7" s="27"/>
      <c r="AU7" s="24"/>
      <c r="AV7" s="13">
        <f t="shared" si="0"/>
        <v>1318664</v>
      </c>
      <c r="AW7" s="14">
        <f t="shared" si="1"/>
        <v>3236825</v>
      </c>
      <c r="AX7" s="22">
        <v>212703</v>
      </c>
      <c r="AY7" s="915">
        <v>214211</v>
      </c>
      <c r="AZ7" s="13">
        <f t="shared" si="2"/>
        <v>1531367</v>
      </c>
      <c r="BA7" s="273">
        <f t="shared" si="3"/>
        <v>3451036</v>
      </c>
    </row>
    <row r="8" spans="1:53" s="607" customFormat="1" ht="13.5" x14ac:dyDescent="0.25">
      <c r="A8" s="290" t="s">
        <v>6</v>
      </c>
      <c r="B8" s="13">
        <v>116388</v>
      </c>
      <c r="C8" s="919">
        <v>237010</v>
      </c>
      <c r="D8" s="25">
        <v>23554</v>
      </c>
      <c r="E8" s="28">
        <v>1031</v>
      </c>
      <c r="F8" s="25">
        <v>62477</v>
      </c>
      <c r="G8" s="24">
        <v>14409</v>
      </c>
      <c r="H8" s="25">
        <v>58436</v>
      </c>
      <c r="I8" s="24">
        <v>323197</v>
      </c>
      <c r="J8" s="25">
        <v>565</v>
      </c>
      <c r="K8" s="24">
        <v>15</v>
      </c>
      <c r="L8" s="25">
        <v>64572</v>
      </c>
      <c r="M8" s="24">
        <v>149</v>
      </c>
      <c r="N8" s="25">
        <v>29710</v>
      </c>
      <c r="O8" s="24">
        <v>54635</v>
      </c>
      <c r="P8" s="25">
        <v>4971</v>
      </c>
      <c r="Q8" s="24">
        <v>119</v>
      </c>
      <c r="R8" s="25">
        <v>170840</v>
      </c>
      <c r="S8" s="24">
        <v>37515</v>
      </c>
      <c r="T8" s="27">
        <v>6393</v>
      </c>
      <c r="U8" s="724">
        <v>6419</v>
      </c>
      <c r="V8" s="25">
        <v>406732</v>
      </c>
      <c r="W8" s="611">
        <v>748425</v>
      </c>
      <c r="X8" s="27">
        <v>702767</v>
      </c>
      <c r="Y8" s="724">
        <v>768089</v>
      </c>
      <c r="Z8" s="928"/>
      <c r="AA8" s="929"/>
      <c r="AB8" s="25">
        <v>359811</v>
      </c>
      <c r="AC8" s="724">
        <v>262041</v>
      </c>
      <c r="AD8" s="25">
        <v>228734</v>
      </c>
      <c r="AE8" s="28">
        <v>620658</v>
      </c>
      <c r="AF8" s="27">
        <v>35827</v>
      </c>
      <c r="AG8" s="24">
        <v>33364</v>
      </c>
      <c r="AH8" s="27">
        <v>302520</v>
      </c>
      <c r="AI8" s="24">
        <v>492037</v>
      </c>
      <c r="AJ8" s="27">
        <v>954</v>
      </c>
      <c r="AK8" s="24">
        <v>83</v>
      </c>
      <c r="AL8" s="608"/>
      <c r="AM8" s="24"/>
      <c r="AN8" s="605">
        <v>125558</v>
      </c>
      <c r="AO8" s="606">
        <v>135739</v>
      </c>
      <c r="AP8" s="609">
        <v>107170</v>
      </c>
      <c r="AQ8" s="610">
        <v>14812</v>
      </c>
      <c r="AR8" s="22">
        <v>22767</v>
      </c>
      <c r="AS8" s="23">
        <v>-126</v>
      </c>
      <c r="AT8" s="27">
        <v>38422</v>
      </c>
      <c r="AU8" s="24">
        <v>305061</v>
      </c>
      <c r="AV8" s="13">
        <f t="shared" si="0"/>
        <v>2514328</v>
      </c>
      <c r="AW8" s="14">
        <f t="shared" si="1"/>
        <v>3792760</v>
      </c>
      <c r="AX8" s="22">
        <v>109055</v>
      </c>
      <c r="AY8" s="915">
        <v>118593</v>
      </c>
      <c r="AZ8" s="13">
        <f t="shared" si="2"/>
        <v>2623383</v>
      </c>
      <c r="BA8" s="273">
        <f t="shared" si="3"/>
        <v>3911353</v>
      </c>
    </row>
    <row r="9" spans="1:53" s="607" customFormat="1" ht="13.5" x14ac:dyDescent="0.25">
      <c r="A9" s="290" t="s">
        <v>7</v>
      </c>
      <c r="B9" s="13"/>
      <c r="C9" s="919"/>
      <c r="D9" s="25"/>
      <c r="E9" s="28"/>
      <c r="F9" s="25"/>
      <c r="G9" s="24"/>
      <c r="H9" s="25">
        <v>279468</v>
      </c>
      <c r="I9" s="24">
        <v>214753</v>
      </c>
      <c r="J9" s="25"/>
      <c r="K9" s="24"/>
      <c r="L9" s="25"/>
      <c r="M9" s="24"/>
      <c r="N9" s="25">
        <v>14139</v>
      </c>
      <c r="O9" s="24">
        <v>11877</v>
      </c>
      <c r="P9" s="25"/>
      <c r="Q9" s="24"/>
      <c r="R9" s="25"/>
      <c r="S9" s="24"/>
      <c r="T9" s="27"/>
      <c r="U9" s="724"/>
      <c r="V9" s="25">
        <v>22549</v>
      </c>
      <c r="W9" s="611">
        <v>191971</v>
      </c>
      <c r="X9" s="27"/>
      <c r="Y9" s="724">
        <v>176164</v>
      </c>
      <c r="Z9" s="928"/>
      <c r="AA9" s="929"/>
      <c r="AB9" s="25"/>
      <c r="AC9" s="724">
        <v>42338</v>
      </c>
      <c r="AD9" s="25">
        <v>816100</v>
      </c>
      <c r="AE9" s="28">
        <v>941214</v>
      </c>
      <c r="AF9" s="27"/>
      <c r="AG9" s="24"/>
      <c r="AH9" s="27"/>
      <c r="AI9" s="24"/>
      <c r="AJ9" s="27"/>
      <c r="AK9" s="24"/>
      <c r="AL9" s="608"/>
      <c r="AM9" s="24"/>
      <c r="AN9" s="605"/>
      <c r="AO9" s="606"/>
      <c r="AP9" s="609"/>
      <c r="AQ9" s="610"/>
      <c r="AR9" s="22"/>
      <c r="AS9" s="23"/>
      <c r="AT9" s="27"/>
      <c r="AU9" s="24"/>
      <c r="AV9" s="13">
        <f t="shared" si="0"/>
        <v>1132256</v>
      </c>
      <c r="AW9" s="14">
        <f t="shared" si="1"/>
        <v>1535979</v>
      </c>
      <c r="AX9" s="22"/>
      <c r="AY9" s="915"/>
      <c r="AZ9" s="13">
        <f t="shared" si="2"/>
        <v>1132256</v>
      </c>
      <c r="BA9" s="273">
        <f t="shared" si="3"/>
        <v>1535979</v>
      </c>
    </row>
    <row r="10" spans="1:53" s="607" customFormat="1" ht="13.5" x14ac:dyDescent="0.25">
      <c r="A10" s="290" t="s">
        <v>8</v>
      </c>
      <c r="B10" s="13">
        <v>57133</v>
      </c>
      <c r="C10" s="919">
        <v>282691</v>
      </c>
      <c r="D10" s="25">
        <v>5034</v>
      </c>
      <c r="E10" s="28">
        <v>77</v>
      </c>
      <c r="F10" s="25">
        <v>8929</v>
      </c>
      <c r="G10" s="24">
        <v>60929</v>
      </c>
      <c r="H10" s="25">
        <v>2558027</v>
      </c>
      <c r="I10" s="24">
        <v>2862107</v>
      </c>
      <c r="J10" s="25">
        <v>196903</v>
      </c>
      <c r="K10" s="24">
        <v>9156</v>
      </c>
      <c r="L10" s="25">
        <v>37814</v>
      </c>
      <c r="M10" s="24">
        <v>2413</v>
      </c>
      <c r="N10" s="25">
        <v>175349</v>
      </c>
      <c r="O10" s="24">
        <v>26952</v>
      </c>
      <c r="P10" s="25">
        <v>2947</v>
      </c>
      <c r="Q10" s="24">
        <v>1744</v>
      </c>
      <c r="R10" s="25">
        <v>17348</v>
      </c>
      <c r="S10" s="24">
        <v>8641</v>
      </c>
      <c r="T10" s="27">
        <v>20872</v>
      </c>
      <c r="U10" s="724">
        <v>30855</v>
      </c>
      <c r="V10" s="25">
        <v>2600812</v>
      </c>
      <c r="W10" s="611">
        <v>4000683</v>
      </c>
      <c r="X10" s="27">
        <v>3793274</v>
      </c>
      <c r="Y10" s="724">
        <v>6815233</v>
      </c>
      <c r="Z10" s="928">
        <v>312</v>
      </c>
      <c r="AA10" s="929">
        <v>292</v>
      </c>
      <c r="AB10" s="25">
        <v>564313</v>
      </c>
      <c r="AC10" s="724">
        <v>1015362</v>
      </c>
      <c r="AD10" s="840">
        <v>1593801</v>
      </c>
      <c r="AE10" s="30">
        <v>1748494</v>
      </c>
      <c r="AF10" s="27">
        <v>271413</v>
      </c>
      <c r="AG10" s="24">
        <v>12606</v>
      </c>
      <c r="AH10" s="27">
        <v>322702</v>
      </c>
      <c r="AI10" s="24">
        <v>69309</v>
      </c>
      <c r="AJ10" s="27">
        <v>39849</v>
      </c>
      <c r="AK10" s="24">
        <v>41823</v>
      </c>
      <c r="AL10" s="608"/>
      <c r="AM10" s="24"/>
      <c r="AN10" s="605">
        <v>762383</v>
      </c>
      <c r="AO10" s="606">
        <v>1554208</v>
      </c>
      <c r="AP10" s="609">
        <v>313074</v>
      </c>
      <c r="AQ10" s="610">
        <v>860397</v>
      </c>
      <c r="AR10" s="22">
        <v>69567</v>
      </c>
      <c r="AS10" s="23">
        <v>33337</v>
      </c>
      <c r="AT10" s="27">
        <v>56891</v>
      </c>
      <c r="AU10" s="24">
        <v>70949</v>
      </c>
      <c r="AV10" s="13">
        <f t="shared" si="0"/>
        <v>12907381</v>
      </c>
      <c r="AW10" s="14">
        <f t="shared" si="1"/>
        <v>18494640</v>
      </c>
      <c r="AX10" s="27">
        <v>3343286</v>
      </c>
      <c r="AY10" s="724">
        <v>4392629</v>
      </c>
      <c r="AZ10" s="13">
        <f t="shared" si="2"/>
        <v>16250667</v>
      </c>
      <c r="BA10" s="273">
        <f t="shared" si="3"/>
        <v>22887269</v>
      </c>
    </row>
    <row r="11" spans="1:53" s="607" customFormat="1" thickBot="1" x14ac:dyDescent="0.3">
      <c r="A11" s="290" t="s">
        <v>9</v>
      </c>
      <c r="B11" s="567"/>
      <c r="C11" s="920"/>
      <c r="D11" s="575"/>
      <c r="E11" s="639"/>
      <c r="F11" s="575"/>
      <c r="G11" s="638"/>
      <c r="H11" s="575"/>
      <c r="I11" s="638"/>
      <c r="J11" s="575"/>
      <c r="K11" s="638"/>
      <c r="L11" s="575"/>
      <c r="M11" s="638"/>
      <c r="N11" s="575"/>
      <c r="O11" s="638"/>
      <c r="P11" s="575"/>
      <c r="Q11" s="638"/>
      <c r="R11" s="575"/>
      <c r="S11" s="638"/>
      <c r="T11" s="569"/>
      <c r="U11" s="726"/>
      <c r="V11" s="25"/>
      <c r="W11" s="28"/>
      <c r="X11" s="569">
        <f>34+30544+4857</f>
        <v>35435</v>
      </c>
      <c r="Y11" s="726"/>
      <c r="Z11" s="930"/>
      <c r="AA11" s="931"/>
      <c r="AB11" s="575"/>
      <c r="AC11" s="726"/>
      <c r="AD11" s="841"/>
      <c r="AE11" s="571"/>
      <c r="AF11" s="569"/>
      <c r="AG11" s="638"/>
      <c r="AH11" s="569"/>
      <c r="AI11" s="638"/>
      <c r="AJ11" s="569"/>
      <c r="AK11" s="638"/>
      <c r="AL11" s="640"/>
      <c r="AM11" s="638"/>
      <c r="AN11" s="641"/>
      <c r="AO11" s="642"/>
      <c r="AP11" s="643"/>
      <c r="AQ11" s="644"/>
      <c r="AR11" s="645"/>
      <c r="AS11" s="646"/>
      <c r="AT11" s="569"/>
      <c r="AU11" s="638"/>
      <c r="AV11" s="567">
        <f t="shared" si="0"/>
        <v>35435</v>
      </c>
      <c r="AW11" s="574">
        <f t="shared" si="1"/>
        <v>0</v>
      </c>
      <c r="AX11" s="569"/>
      <c r="AY11" s="726"/>
      <c r="AZ11" s="567">
        <f t="shared" si="2"/>
        <v>35435</v>
      </c>
      <c r="BA11" s="568">
        <f t="shared" si="3"/>
        <v>0</v>
      </c>
    </row>
    <row r="12" spans="1:53" s="359" customFormat="1" ht="15" thickBot="1" x14ac:dyDescent="0.35">
      <c r="A12" s="616" t="s">
        <v>10</v>
      </c>
      <c r="B12" s="556">
        <f>SUM(B5:B11)</f>
        <v>275394</v>
      </c>
      <c r="C12" s="636">
        <f t="shared" ref="C12:AH12" si="4">SUM(C5:C11)</f>
        <v>948775</v>
      </c>
      <c r="D12" s="556">
        <f t="shared" si="4"/>
        <v>28811</v>
      </c>
      <c r="E12" s="559">
        <f t="shared" si="4"/>
        <v>3487</v>
      </c>
      <c r="F12" s="556">
        <f t="shared" si="4"/>
        <v>71783</v>
      </c>
      <c r="G12" s="558">
        <f t="shared" si="4"/>
        <v>93066</v>
      </c>
      <c r="H12" s="556">
        <f t="shared" si="4"/>
        <v>4483766</v>
      </c>
      <c r="I12" s="558">
        <f t="shared" si="4"/>
        <v>5493740</v>
      </c>
      <c r="J12" s="556">
        <f t="shared" si="4"/>
        <v>209604</v>
      </c>
      <c r="K12" s="558">
        <f t="shared" si="4"/>
        <v>75119</v>
      </c>
      <c r="L12" s="556">
        <f t="shared" si="4"/>
        <v>3394524</v>
      </c>
      <c r="M12" s="558">
        <f t="shared" si="4"/>
        <v>3448066</v>
      </c>
      <c r="N12" s="556">
        <f t="shared" si="4"/>
        <v>224010</v>
      </c>
      <c r="O12" s="558">
        <f t="shared" si="4"/>
        <v>109334</v>
      </c>
      <c r="P12" s="556">
        <f>SUM(P5:P11)</f>
        <v>37568</v>
      </c>
      <c r="Q12" s="558">
        <f>SUM(Q5:Q11)</f>
        <v>11664</v>
      </c>
      <c r="R12" s="556">
        <f t="shared" si="4"/>
        <v>188269</v>
      </c>
      <c r="S12" s="558">
        <f t="shared" si="4"/>
        <v>46225</v>
      </c>
      <c r="T12" s="560">
        <f t="shared" si="4"/>
        <v>31634</v>
      </c>
      <c r="U12" s="636">
        <f t="shared" si="4"/>
        <v>38112</v>
      </c>
      <c r="V12" s="924">
        <f t="shared" si="4"/>
        <v>7258824</v>
      </c>
      <c r="W12" s="925">
        <f t="shared" si="4"/>
        <v>11993090</v>
      </c>
      <c r="X12" s="560">
        <f t="shared" si="4"/>
        <v>5061857</v>
      </c>
      <c r="Y12" s="636">
        <f t="shared" si="4"/>
        <v>8672977</v>
      </c>
      <c r="Z12" s="556">
        <f t="shared" si="4"/>
        <v>3247</v>
      </c>
      <c r="AA12" s="559">
        <f t="shared" si="4"/>
        <v>5557</v>
      </c>
      <c r="AB12" s="556">
        <f t="shared" si="4"/>
        <v>942469</v>
      </c>
      <c r="AC12" s="636">
        <f t="shared" si="4"/>
        <v>1346173</v>
      </c>
      <c r="AD12" s="556">
        <f t="shared" si="4"/>
        <v>3376184</v>
      </c>
      <c r="AE12" s="559">
        <f t="shared" si="4"/>
        <v>4844280</v>
      </c>
      <c r="AF12" s="560">
        <f t="shared" si="4"/>
        <v>809860</v>
      </c>
      <c r="AG12" s="558">
        <f t="shared" si="4"/>
        <v>672500</v>
      </c>
      <c r="AH12" s="560">
        <f t="shared" si="4"/>
        <v>693894</v>
      </c>
      <c r="AI12" s="558">
        <f t="shared" ref="AI12:AU12" si="5">SUM(AI5:AI11)</f>
        <v>725879</v>
      </c>
      <c r="AJ12" s="560">
        <f t="shared" si="5"/>
        <v>40803</v>
      </c>
      <c r="AK12" s="558">
        <f t="shared" si="5"/>
        <v>41906</v>
      </c>
      <c r="AL12" s="560">
        <f t="shared" si="5"/>
        <v>0</v>
      </c>
      <c r="AM12" s="558">
        <f t="shared" si="5"/>
        <v>0</v>
      </c>
      <c r="AN12" s="560">
        <f t="shared" si="5"/>
        <v>1034408</v>
      </c>
      <c r="AO12" s="558">
        <f t="shared" si="5"/>
        <v>1926661</v>
      </c>
      <c r="AP12" s="560">
        <f t="shared" si="5"/>
        <v>500188</v>
      </c>
      <c r="AQ12" s="558">
        <f t="shared" si="5"/>
        <v>1069277</v>
      </c>
      <c r="AR12" s="560">
        <f t="shared" si="5"/>
        <v>439835</v>
      </c>
      <c r="AS12" s="558">
        <f t="shared" si="5"/>
        <v>673820</v>
      </c>
      <c r="AT12" s="560">
        <f t="shared" si="5"/>
        <v>97811</v>
      </c>
      <c r="AU12" s="558">
        <f t="shared" si="5"/>
        <v>381304</v>
      </c>
      <c r="AV12" s="556">
        <f t="shared" si="0"/>
        <v>28299842</v>
      </c>
      <c r="AW12" s="560">
        <f t="shared" si="1"/>
        <v>41286503</v>
      </c>
      <c r="AX12" s="565">
        <f>SUM(AX5:AX11)</f>
        <v>3835220</v>
      </c>
      <c r="AY12" s="916">
        <f>SUM(AY5:AY11)</f>
        <v>4950832</v>
      </c>
      <c r="AZ12" s="556">
        <f t="shared" si="2"/>
        <v>32135062</v>
      </c>
      <c r="BA12" s="637">
        <f t="shared" si="3"/>
        <v>46237335</v>
      </c>
    </row>
    <row r="13" spans="1:53" ht="15" thickBot="1" x14ac:dyDescent="0.35">
      <c r="A13" s="284" t="s">
        <v>11</v>
      </c>
      <c r="B13" s="647"/>
      <c r="C13" s="921"/>
      <c r="D13" s="725"/>
      <c r="E13" s="650"/>
      <c r="F13" s="725"/>
      <c r="G13" s="649"/>
      <c r="H13" s="725"/>
      <c r="I13" s="649"/>
      <c r="J13" s="727"/>
      <c r="K13" s="651"/>
      <c r="L13" s="725"/>
      <c r="M13" s="649"/>
      <c r="N13" s="725"/>
      <c r="O13" s="649"/>
      <c r="P13" s="725"/>
      <c r="Q13" s="649"/>
      <c r="R13" s="725"/>
      <c r="S13" s="649"/>
      <c r="T13" s="648"/>
      <c r="U13" s="652">
        <v>0</v>
      </c>
      <c r="V13" s="17"/>
      <c r="W13" s="19"/>
      <c r="X13" s="648"/>
      <c r="Y13" s="652"/>
      <c r="Z13" s="725"/>
      <c r="AA13" s="650"/>
      <c r="AB13" s="653"/>
      <c r="AC13" s="933"/>
      <c r="AD13" s="725"/>
      <c r="AE13" s="650"/>
      <c r="AF13" s="648"/>
      <c r="AG13" s="649"/>
      <c r="AH13" s="648"/>
      <c r="AI13" s="649"/>
      <c r="AJ13" s="648"/>
      <c r="AK13" s="649"/>
      <c r="AL13" s="654"/>
      <c r="AM13" s="651"/>
      <c r="AN13" s="655"/>
      <c r="AO13" s="656"/>
      <c r="AP13" s="657"/>
      <c r="AQ13" s="658"/>
      <c r="AR13" s="659"/>
      <c r="AS13" s="660">
        <v>0</v>
      </c>
      <c r="AT13" s="648"/>
      <c r="AU13" s="649"/>
      <c r="AV13" s="647">
        <f t="shared" si="0"/>
        <v>0</v>
      </c>
      <c r="AW13" s="661">
        <f t="shared" si="1"/>
        <v>0</v>
      </c>
      <c r="AX13" s="659"/>
      <c r="AY13" s="917"/>
      <c r="AZ13" s="647">
        <f t="shared" si="2"/>
        <v>0</v>
      </c>
      <c r="BA13" s="662">
        <f t="shared" si="3"/>
        <v>0</v>
      </c>
    </row>
    <row r="14" spans="1:53" s="359" customFormat="1" ht="15" thickBot="1" x14ac:dyDescent="0.35">
      <c r="A14" s="616" t="s">
        <v>12</v>
      </c>
      <c r="B14" s="556">
        <f>B12+B13</f>
        <v>275394</v>
      </c>
      <c r="C14" s="636">
        <f t="shared" ref="C14:AH14" si="6">C12+C13</f>
        <v>948775</v>
      </c>
      <c r="D14" s="556">
        <f t="shared" si="6"/>
        <v>28811</v>
      </c>
      <c r="E14" s="559">
        <f t="shared" si="6"/>
        <v>3487</v>
      </c>
      <c r="F14" s="556">
        <f t="shared" si="6"/>
        <v>71783</v>
      </c>
      <c r="G14" s="558">
        <f t="shared" si="6"/>
        <v>93066</v>
      </c>
      <c r="H14" s="556">
        <f t="shared" si="6"/>
        <v>4483766</v>
      </c>
      <c r="I14" s="558">
        <f t="shared" si="6"/>
        <v>5493740</v>
      </c>
      <c r="J14" s="556">
        <f t="shared" si="6"/>
        <v>209604</v>
      </c>
      <c r="K14" s="558">
        <f t="shared" si="6"/>
        <v>75119</v>
      </c>
      <c r="L14" s="556">
        <f t="shared" si="6"/>
        <v>3394524</v>
      </c>
      <c r="M14" s="558">
        <f t="shared" si="6"/>
        <v>3448066</v>
      </c>
      <c r="N14" s="556">
        <f t="shared" si="6"/>
        <v>224010</v>
      </c>
      <c r="O14" s="558">
        <f t="shared" si="6"/>
        <v>109334</v>
      </c>
      <c r="P14" s="556">
        <f>P12+P13</f>
        <v>37568</v>
      </c>
      <c r="Q14" s="558">
        <f>Q12+Q13</f>
        <v>11664</v>
      </c>
      <c r="R14" s="556">
        <f t="shared" si="6"/>
        <v>188269</v>
      </c>
      <c r="S14" s="558">
        <f t="shared" si="6"/>
        <v>46225</v>
      </c>
      <c r="T14" s="560">
        <f t="shared" si="6"/>
        <v>31634</v>
      </c>
      <c r="U14" s="636">
        <f t="shared" si="6"/>
        <v>38112</v>
      </c>
      <c r="V14" s="926">
        <f t="shared" si="6"/>
        <v>7258824</v>
      </c>
      <c r="W14" s="927">
        <f t="shared" si="6"/>
        <v>11993090</v>
      </c>
      <c r="X14" s="560">
        <f t="shared" si="6"/>
        <v>5061857</v>
      </c>
      <c r="Y14" s="636">
        <f t="shared" si="6"/>
        <v>8672977</v>
      </c>
      <c r="Z14" s="556">
        <f t="shared" si="6"/>
        <v>3247</v>
      </c>
      <c r="AA14" s="559">
        <f t="shared" si="6"/>
        <v>5557</v>
      </c>
      <c r="AB14" s="556">
        <f t="shared" si="6"/>
        <v>942469</v>
      </c>
      <c r="AC14" s="636">
        <f t="shared" si="6"/>
        <v>1346173</v>
      </c>
      <c r="AD14" s="556">
        <f t="shared" si="6"/>
        <v>3376184</v>
      </c>
      <c r="AE14" s="559">
        <f t="shared" si="6"/>
        <v>4844280</v>
      </c>
      <c r="AF14" s="560">
        <f t="shared" si="6"/>
        <v>809860</v>
      </c>
      <c r="AG14" s="558">
        <f t="shared" si="6"/>
        <v>672500</v>
      </c>
      <c r="AH14" s="560">
        <f t="shared" si="6"/>
        <v>693894</v>
      </c>
      <c r="AI14" s="558">
        <f t="shared" ref="AI14:AU14" si="7">AI12+AI13</f>
        <v>725879</v>
      </c>
      <c r="AJ14" s="560">
        <f t="shared" si="7"/>
        <v>40803</v>
      </c>
      <c r="AK14" s="558">
        <f t="shared" si="7"/>
        <v>41906</v>
      </c>
      <c r="AL14" s="560">
        <f t="shared" si="7"/>
        <v>0</v>
      </c>
      <c r="AM14" s="558">
        <f t="shared" si="7"/>
        <v>0</v>
      </c>
      <c r="AN14" s="560">
        <f t="shared" si="7"/>
        <v>1034408</v>
      </c>
      <c r="AO14" s="558">
        <f t="shared" si="7"/>
        <v>1926661</v>
      </c>
      <c r="AP14" s="560">
        <f t="shared" si="7"/>
        <v>500188</v>
      </c>
      <c r="AQ14" s="558">
        <f t="shared" si="7"/>
        <v>1069277</v>
      </c>
      <c r="AR14" s="560">
        <f t="shared" si="7"/>
        <v>439835</v>
      </c>
      <c r="AS14" s="558">
        <f t="shared" si="7"/>
        <v>673820</v>
      </c>
      <c r="AT14" s="560">
        <f t="shared" si="7"/>
        <v>97811</v>
      </c>
      <c r="AU14" s="558">
        <f t="shared" si="7"/>
        <v>381304</v>
      </c>
      <c r="AV14" s="556">
        <f t="shared" si="0"/>
        <v>28299842</v>
      </c>
      <c r="AW14" s="560">
        <f t="shared" si="1"/>
        <v>41286503</v>
      </c>
      <c r="AX14" s="565">
        <f>AX12+AX13</f>
        <v>3835220</v>
      </c>
      <c r="AY14" s="916">
        <f>AY12+AY13</f>
        <v>4950832</v>
      </c>
      <c r="AZ14" s="556">
        <f t="shared" si="2"/>
        <v>32135062</v>
      </c>
      <c r="BA14" s="637">
        <f t="shared" si="3"/>
        <v>46237335</v>
      </c>
    </row>
    <row r="18" spans="4:4" ht="15.75" x14ac:dyDescent="0.3">
      <c r="D18"/>
    </row>
  </sheetData>
  <mergeCells count="29">
    <mergeCell ref="A1:BA1"/>
    <mergeCell ref="A2:BA2"/>
    <mergeCell ref="A3:A4"/>
    <mergeCell ref="AR3:AS3"/>
    <mergeCell ref="AP3:AQ3"/>
    <mergeCell ref="Z3:AA3"/>
    <mergeCell ref="P3:Q3"/>
    <mergeCell ref="AH3:AI3"/>
    <mergeCell ref="AJ3:AK3"/>
    <mergeCell ref="AL3:AM3"/>
    <mergeCell ref="T3:U3"/>
    <mergeCell ref="V3:W3"/>
    <mergeCell ref="AV3:AW3"/>
    <mergeCell ref="AT3:AU3"/>
    <mergeCell ref="AZ3:BA3"/>
    <mergeCell ref="AX3:AY3"/>
    <mergeCell ref="AN3:AO3"/>
    <mergeCell ref="X3:Y3"/>
    <mergeCell ref="N3:O3"/>
    <mergeCell ref="L3:M3"/>
    <mergeCell ref="R3:S3"/>
    <mergeCell ref="AB3:AC3"/>
    <mergeCell ref="AD3:AE3"/>
    <mergeCell ref="AF3:AG3"/>
    <mergeCell ref="B3:C3"/>
    <mergeCell ref="D3:E3"/>
    <mergeCell ref="F3:G3"/>
    <mergeCell ref="H3:I3"/>
    <mergeCell ref="J3:K3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A1:BF21"/>
  <sheetViews>
    <sheetView workbookViewId="0">
      <pane xSplit="1" topLeftCell="B1" activePane="topRight" state="frozen"/>
      <selection pane="topRight" activeCell="BD18" sqref="BD18"/>
    </sheetView>
  </sheetViews>
  <sheetFormatPr defaultRowHeight="16.5" x14ac:dyDescent="0.3"/>
  <cols>
    <col min="1" max="1" width="23.42578125" style="51" bestFit="1" customWidth="1"/>
    <col min="2" max="15" width="11.7109375" style="51" bestFit="1" customWidth="1"/>
    <col min="16" max="16" width="11.140625" style="51" customWidth="1"/>
    <col min="17" max="53" width="11.7109375" style="51" bestFit="1" customWidth="1"/>
    <col min="54" max="58" width="9.140625" style="714"/>
    <col min="59" max="16384" width="9.140625" style="51"/>
  </cols>
  <sheetData>
    <row r="1" spans="1:58" ht="17.25" x14ac:dyDescent="0.35">
      <c r="A1" s="1348" t="s">
        <v>254</v>
      </c>
      <c r="B1" s="1348"/>
      <c r="C1" s="1348"/>
      <c r="D1" s="1348"/>
      <c r="E1" s="1348"/>
      <c r="F1" s="1348"/>
      <c r="G1" s="1348"/>
      <c r="H1" s="1348"/>
      <c r="I1" s="1348"/>
      <c r="J1" s="1348"/>
      <c r="K1" s="1348"/>
      <c r="L1" s="1348"/>
      <c r="M1" s="1348"/>
      <c r="N1" s="1348"/>
      <c r="O1" s="1348"/>
      <c r="P1" s="1348"/>
      <c r="Q1" s="1348"/>
      <c r="R1" s="1348"/>
      <c r="S1" s="1348"/>
      <c r="T1" s="1348"/>
      <c r="U1" s="1348"/>
      <c r="V1" s="1348"/>
      <c r="W1" s="1348"/>
      <c r="X1" s="1348"/>
      <c r="Y1" s="1348"/>
      <c r="Z1" s="1348"/>
      <c r="AA1" s="1348"/>
      <c r="AB1" s="1348"/>
      <c r="AC1" s="1348"/>
      <c r="AD1" s="1348"/>
      <c r="AE1" s="1348"/>
      <c r="AF1" s="1348"/>
      <c r="AG1" s="1348"/>
      <c r="AH1" s="1348"/>
      <c r="AI1" s="1348"/>
      <c r="AJ1" s="1348"/>
      <c r="AK1" s="1348"/>
      <c r="AL1" s="1348"/>
      <c r="AM1" s="1348"/>
      <c r="AN1" s="1348"/>
      <c r="AO1" s="1348"/>
      <c r="AP1" s="1348"/>
      <c r="AQ1" s="1348"/>
      <c r="AR1" s="1348"/>
      <c r="AS1" s="1348"/>
      <c r="AT1" s="1348"/>
      <c r="AU1" s="1348"/>
      <c r="AV1" s="1348"/>
      <c r="AW1" s="1348"/>
      <c r="AX1" s="1348"/>
      <c r="AY1" s="1348"/>
      <c r="AZ1" s="1348"/>
      <c r="BA1" s="1348"/>
    </row>
    <row r="2" spans="1:58" s="510" customFormat="1" ht="18" thickBot="1" x14ac:dyDescent="0.4">
      <c r="A2" s="1430" t="s">
        <v>157</v>
      </c>
      <c r="B2" s="1430"/>
      <c r="C2" s="1430"/>
      <c r="D2" s="1430"/>
      <c r="E2" s="1430"/>
      <c r="F2" s="1430"/>
      <c r="G2" s="1430"/>
      <c r="H2" s="1430"/>
      <c r="I2" s="1430"/>
      <c r="J2" s="1430"/>
      <c r="K2" s="1430"/>
      <c r="L2" s="1430"/>
      <c r="M2" s="1430"/>
      <c r="N2" s="1430"/>
      <c r="O2" s="1430"/>
      <c r="P2" s="1430"/>
      <c r="Q2" s="1430"/>
      <c r="R2" s="1430"/>
      <c r="S2" s="1430"/>
      <c r="T2" s="1430"/>
      <c r="U2" s="1430"/>
      <c r="V2" s="1430"/>
      <c r="W2" s="1430"/>
      <c r="X2" s="1430"/>
      <c r="Y2" s="1430"/>
      <c r="Z2" s="1430"/>
      <c r="AA2" s="1430"/>
      <c r="AB2" s="1430"/>
      <c r="AC2" s="1430"/>
      <c r="AD2" s="1430"/>
      <c r="AE2" s="1430"/>
      <c r="AF2" s="1430"/>
      <c r="AG2" s="1430"/>
      <c r="AH2" s="1430"/>
      <c r="AI2" s="1430"/>
      <c r="AJ2" s="1430"/>
      <c r="AK2" s="1430"/>
      <c r="AL2" s="1430"/>
      <c r="AM2" s="1430"/>
      <c r="AN2" s="1430"/>
      <c r="AO2" s="1430"/>
      <c r="AP2" s="1430"/>
      <c r="AQ2" s="1430"/>
      <c r="AR2" s="1430"/>
      <c r="AS2" s="1430"/>
      <c r="AT2" s="1430"/>
      <c r="AU2" s="1430"/>
      <c r="AV2" s="1430"/>
      <c r="AW2" s="1430"/>
      <c r="AX2" s="1430"/>
      <c r="AY2" s="1430"/>
      <c r="AZ2" s="1430"/>
      <c r="BA2" s="1430"/>
      <c r="BB2" s="715"/>
      <c r="BC2" s="715"/>
      <c r="BD2" s="715"/>
      <c r="BE2" s="715"/>
      <c r="BF2" s="715"/>
    </row>
    <row r="3" spans="1:58" s="937" customFormat="1" ht="42.75" customHeight="1" thickBot="1" x14ac:dyDescent="0.3">
      <c r="A3" s="1431" t="s">
        <v>14</v>
      </c>
      <c r="B3" s="1425" t="s">
        <v>159</v>
      </c>
      <c r="C3" s="1426"/>
      <c r="D3" s="1425" t="s">
        <v>160</v>
      </c>
      <c r="E3" s="1426"/>
      <c r="F3" s="1425" t="s">
        <v>161</v>
      </c>
      <c r="G3" s="1426"/>
      <c r="H3" s="1429" t="s">
        <v>162</v>
      </c>
      <c r="I3" s="1426"/>
      <c r="J3" s="1425" t="s">
        <v>163</v>
      </c>
      <c r="K3" s="1426"/>
      <c r="L3" s="1425" t="s">
        <v>164</v>
      </c>
      <c r="M3" s="1426"/>
      <c r="N3" s="1425" t="s">
        <v>315</v>
      </c>
      <c r="O3" s="1426"/>
      <c r="P3" s="1425" t="s">
        <v>165</v>
      </c>
      <c r="Q3" s="1426"/>
      <c r="R3" s="1425" t="s">
        <v>166</v>
      </c>
      <c r="S3" s="1426"/>
      <c r="T3" s="1425" t="s">
        <v>167</v>
      </c>
      <c r="U3" s="1426"/>
      <c r="V3" s="1425" t="s">
        <v>168</v>
      </c>
      <c r="W3" s="1426"/>
      <c r="X3" s="1425" t="s">
        <v>169</v>
      </c>
      <c r="Y3" s="1426"/>
      <c r="Z3" s="1425" t="s">
        <v>325</v>
      </c>
      <c r="AA3" s="1429"/>
      <c r="AB3" s="1425" t="s">
        <v>170</v>
      </c>
      <c r="AC3" s="1426"/>
      <c r="AD3" s="1427" t="s">
        <v>171</v>
      </c>
      <c r="AE3" s="1433"/>
      <c r="AF3" s="1425" t="s">
        <v>172</v>
      </c>
      <c r="AG3" s="1426"/>
      <c r="AH3" s="1425" t="s">
        <v>173</v>
      </c>
      <c r="AI3" s="1429"/>
      <c r="AJ3" s="1425" t="s">
        <v>174</v>
      </c>
      <c r="AK3" s="1426"/>
      <c r="AL3" s="1427" t="s">
        <v>175</v>
      </c>
      <c r="AM3" s="1428"/>
      <c r="AN3" s="1425" t="s">
        <v>176</v>
      </c>
      <c r="AO3" s="1426"/>
      <c r="AP3" s="1425" t="s">
        <v>177</v>
      </c>
      <c r="AQ3" s="1426"/>
      <c r="AR3" s="1425" t="s">
        <v>178</v>
      </c>
      <c r="AS3" s="1426"/>
      <c r="AT3" s="1425" t="s">
        <v>179</v>
      </c>
      <c r="AU3" s="1426"/>
      <c r="AV3" s="1425" t="s">
        <v>1</v>
      </c>
      <c r="AW3" s="1426"/>
      <c r="AX3" s="1427" t="s">
        <v>180</v>
      </c>
      <c r="AY3" s="1428"/>
      <c r="AZ3" s="1427" t="s">
        <v>2</v>
      </c>
      <c r="BA3" s="1428"/>
      <c r="BB3" s="936"/>
      <c r="BC3" s="936"/>
      <c r="BD3" s="936"/>
      <c r="BE3" s="936"/>
      <c r="BF3" s="936"/>
    </row>
    <row r="4" spans="1:58" s="379" customFormat="1" ht="17.25" thickBot="1" x14ac:dyDescent="0.35">
      <c r="A4" s="1432"/>
      <c r="B4" s="440" t="s">
        <v>321</v>
      </c>
      <c r="C4" s="442" t="s">
        <v>383</v>
      </c>
      <c r="D4" s="440" t="s">
        <v>321</v>
      </c>
      <c r="E4" s="442" t="s">
        <v>383</v>
      </c>
      <c r="F4" s="440" t="s">
        <v>321</v>
      </c>
      <c r="G4" s="442" t="s">
        <v>383</v>
      </c>
      <c r="H4" s="440" t="s">
        <v>321</v>
      </c>
      <c r="I4" s="442" t="s">
        <v>383</v>
      </c>
      <c r="J4" s="440" t="s">
        <v>321</v>
      </c>
      <c r="K4" s="442" t="s">
        <v>383</v>
      </c>
      <c r="L4" s="440" t="s">
        <v>321</v>
      </c>
      <c r="M4" s="442" t="s">
        <v>383</v>
      </c>
      <c r="N4" s="440" t="s">
        <v>321</v>
      </c>
      <c r="O4" s="442" t="s">
        <v>383</v>
      </c>
      <c r="P4" s="440" t="s">
        <v>321</v>
      </c>
      <c r="Q4" s="442" t="s">
        <v>383</v>
      </c>
      <c r="R4" s="440" t="s">
        <v>321</v>
      </c>
      <c r="S4" s="442" t="s">
        <v>383</v>
      </c>
      <c r="T4" s="440" t="s">
        <v>321</v>
      </c>
      <c r="U4" s="442" t="s">
        <v>383</v>
      </c>
      <c r="V4" s="440" t="s">
        <v>321</v>
      </c>
      <c r="W4" s="442" t="s">
        <v>383</v>
      </c>
      <c r="X4" s="440" t="s">
        <v>321</v>
      </c>
      <c r="Y4" s="442" t="s">
        <v>383</v>
      </c>
      <c r="Z4" s="440" t="s">
        <v>321</v>
      </c>
      <c r="AA4" s="442" t="s">
        <v>383</v>
      </c>
      <c r="AB4" s="440" t="s">
        <v>321</v>
      </c>
      <c r="AC4" s="442" t="s">
        <v>383</v>
      </c>
      <c r="AD4" s="440" t="s">
        <v>321</v>
      </c>
      <c r="AE4" s="442" t="s">
        <v>383</v>
      </c>
      <c r="AF4" s="440" t="s">
        <v>321</v>
      </c>
      <c r="AG4" s="442" t="s">
        <v>383</v>
      </c>
      <c r="AH4" s="440" t="s">
        <v>321</v>
      </c>
      <c r="AI4" s="442" t="s">
        <v>383</v>
      </c>
      <c r="AJ4" s="440" t="s">
        <v>321</v>
      </c>
      <c r="AK4" s="442" t="s">
        <v>383</v>
      </c>
      <c r="AL4" s="440" t="s">
        <v>321</v>
      </c>
      <c r="AM4" s="442" t="s">
        <v>383</v>
      </c>
      <c r="AN4" s="440" t="s">
        <v>321</v>
      </c>
      <c r="AO4" s="442" t="s">
        <v>383</v>
      </c>
      <c r="AP4" s="440" t="s">
        <v>321</v>
      </c>
      <c r="AQ4" s="442" t="s">
        <v>383</v>
      </c>
      <c r="AR4" s="440" t="s">
        <v>321</v>
      </c>
      <c r="AS4" s="442" t="s">
        <v>383</v>
      </c>
      <c r="AT4" s="440" t="s">
        <v>321</v>
      </c>
      <c r="AU4" s="442" t="s">
        <v>383</v>
      </c>
      <c r="AV4" s="440" t="s">
        <v>321</v>
      </c>
      <c r="AW4" s="442" t="s">
        <v>383</v>
      </c>
      <c r="AX4" s="440" t="s">
        <v>321</v>
      </c>
      <c r="AY4" s="442" t="s">
        <v>383</v>
      </c>
      <c r="AZ4" s="440" t="s">
        <v>321</v>
      </c>
      <c r="BA4" s="442" t="s">
        <v>383</v>
      </c>
      <c r="BB4" s="433"/>
      <c r="BC4" s="433"/>
      <c r="BD4" s="433"/>
      <c r="BE4" s="433"/>
      <c r="BF4" s="716"/>
    </row>
    <row r="5" spans="1:58" ht="17.25" x14ac:dyDescent="0.35">
      <c r="A5" s="212" t="s">
        <v>3</v>
      </c>
      <c r="B5" s="327">
        <v>153.33000000000001</v>
      </c>
      <c r="C5" s="328">
        <v>143.9</v>
      </c>
      <c r="D5" s="329">
        <v>-0.01</v>
      </c>
      <c r="E5" s="330"/>
      <c r="F5" s="329">
        <v>8.89</v>
      </c>
      <c r="G5" s="332">
        <v>5.25</v>
      </c>
      <c r="H5" s="333">
        <v>233</v>
      </c>
      <c r="I5" s="330">
        <v>370.06</v>
      </c>
      <c r="J5" s="329">
        <v>58</v>
      </c>
      <c r="K5" s="330">
        <v>64.84</v>
      </c>
      <c r="L5" s="329">
        <v>1.03</v>
      </c>
      <c r="M5" s="330">
        <v>0.65</v>
      </c>
      <c r="N5" s="329">
        <v>10.83</v>
      </c>
      <c r="O5" s="330">
        <v>12.83</v>
      </c>
      <c r="P5" s="334">
        <v>27.86</v>
      </c>
      <c r="Q5" s="335">
        <v>31.33</v>
      </c>
      <c r="R5" s="334">
        <v>86.18</v>
      </c>
      <c r="S5" s="33">
        <v>84.9</v>
      </c>
      <c r="T5" s="334">
        <v>1.72</v>
      </c>
      <c r="U5" s="33">
        <v>7.15</v>
      </c>
      <c r="V5" s="334">
        <v>257.69</v>
      </c>
      <c r="W5" s="33">
        <v>296.33999999999997</v>
      </c>
      <c r="X5" s="334">
        <v>377</v>
      </c>
      <c r="Y5" s="41">
        <v>481.72</v>
      </c>
      <c r="Z5" s="540">
        <v>5.36</v>
      </c>
      <c r="AA5" s="938">
        <v>3.72</v>
      </c>
      <c r="AB5" s="334">
        <v>6.88</v>
      </c>
      <c r="AC5" s="332">
        <v>11.81</v>
      </c>
      <c r="AD5" s="329">
        <v>61.05</v>
      </c>
      <c r="AE5" s="331">
        <v>127.57</v>
      </c>
      <c r="AF5" s="329">
        <v>312.16000000000003</v>
      </c>
      <c r="AG5" s="332">
        <v>335.42</v>
      </c>
      <c r="AH5" s="329">
        <v>8.2200000000000006</v>
      </c>
      <c r="AI5" s="331">
        <v>24.39</v>
      </c>
      <c r="AJ5" s="329">
        <v>72.900000000000006</v>
      </c>
      <c r="AK5" s="332">
        <v>88.74</v>
      </c>
      <c r="AL5" s="542"/>
      <c r="AM5" s="330"/>
      <c r="AN5" s="728">
        <v>591</v>
      </c>
      <c r="AO5" s="336">
        <v>893.08</v>
      </c>
      <c r="AP5" s="337">
        <v>5.16</v>
      </c>
      <c r="AQ5" s="338">
        <v>6.32</v>
      </c>
      <c r="AR5" s="341"/>
      <c r="AS5" s="339"/>
      <c r="AT5" s="329">
        <v>150.02000000000001</v>
      </c>
      <c r="AU5" s="330">
        <v>273.94</v>
      </c>
      <c r="AV5" s="342">
        <f t="shared" ref="AV5:AV20" si="0">SUM(B5+D5+F5+H5+J5+L5+N5+P5+R5+T5+V5+X5+Z5+AB5+AD5+AF5+AH5+AJ5+AL5+AN5+AP5+AR5+AT5)</f>
        <v>2428.27</v>
      </c>
      <c r="AW5" s="340">
        <f t="shared" ref="AW5:AW20" si="1">SUM(C5+E5+G5+I5+K5+M5+O5+Q5+S5+U5+W5+Y5+AA5+AC5+AE5+AG5+AI5+AK5+AM5+AO5+AQ5+AS5+AU5)</f>
        <v>3263.96</v>
      </c>
      <c r="AX5" s="341">
        <v>7821.2</v>
      </c>
      <c r="AY5" s="339">
        <v>10586.86</v>
      </c>
      <c r="AZ5" s="342">
        <f t="shared" ref="AZ5:AZ20" si="2">AV5+AX5</f>
        <v>10249.469999999999</v>
      </c>
      <c r="BA5" s="343">
        <f t="shared" ref="BA5:BA20" si="3">AW5+AY5</f>
        <v>13850.82</v>
      </c>
    </row>
    <row r="6" spans="1:58" ht="17.25" x14ac:dyDescent="0.35">
      <c r="A6" s="87" t="s">
        <v>4</v>
      </c>
      <c r="B6" s="211">
        <v>195.56</v>
      </c>
      <c r="C6" s="52">
        <v>274.52999999999997</v>
      </c>
      <c r="D6" s="53"/>
      <c r="E6" s="54"/>
      <c r="F6" s="53">
        <v>5.16</v>
      </c>
      <c r="G6" s="56">
        <v>9.2799999999999994</v>
      </c>
      <c r="H6" s="59">
        <v>158</v>
      </c>
      <c r="I6" s="54">
        <v>398.17</v>
      </c>
      <c r="J6" s="53">
        <v>5.56</v>
      </c>
      <c r="K6" s="54">
        <v>11.53</v>
      </c>
      <c r="L6" s="329">
        <v>191.64</v>
      </c>
      <c r="M6" s="330">
        <v>269.58999999999997</v>
      </c>
      <c r="N6" s="53">
        <v>0.02</v>
      </c>
      <c r="O6" s="54"/>
      <c r="P6" s="1">
        <v>12.53</v>
      </c>
      <c r="Q6" s="57">
        <v>24.03</v>
      </c>
      <c r="R6" s="1">
        <v>5.36</v>
      </c>
      <c r="S6" s="2">
        <v>8.56</v>
      </c>
      <c r="T6" s="1">
        <v>4.8499999999999996</v>
      </c>
      <c r="U6" s="2">
        <v>8.7100000000000009</v>
      </c>
      <c r="V6" s="1">
        <v>759.92</v>
      </c>
      <c r="W6" s="2">
        <v>875.34</v>
      </c>
      <c r="X6" s="1">
        <v>686</v>
      </c>
      <c r="Y6" s="3">
        <v>711.38</v>
      </c>
      <c r="Z6" s="198">
        <v>65.55</v>
      </c>
      <c r="AA6" s="939">
        <v>82.58</v>
      </c>
      <c r="AB6" s="1">
        <v>133.47</v>
      </c>
      <c r="AC6" s="56">
        <v>271.61</v>
      </c>
      <c r="AD6" s="53">
        <v>218.85</v>
      </c>
      <c r="AE6" s="55">
        <v>262.12</v>
      </c>
      <c r="AF6" s="53">
        <v>659.61</v>
      </c>
      <c r="AG6" s="56">
        <v>784.73</v>
      </c>
      <c r="AH6" s="53">
        <v>144.31</v>
      </c>
      <c r="AI6" s="55">
        <v>208.18</v>
      </c>
      <c r="AJ6" s="53">
        <v>1.88</v>
      </c>
      <c r="AK6" s="56">
        <v>3.1</v>
      </c>
      <c r="AL6" s="543"/>
      <c r="AM6" s="54"/>
      <c r="AN6" s="702">
        <v>1070</v>
      </c>
      <c r="AO6" s="67">
        <v>2218.44</v>
      </c>
      <c r="AP6" s="61">
        <v>0.59</v>
      </c>
      <c r="AQ6" s="62"/>
      <c r="AR6" s="65">
        <v>128.52000000000001</v>
      </c>
      <c r="AS6" s="63">
        <v>236.73</v>
      </c>
      <c r="AT6" s="53">
        <v>357.36</v>
      </c>
      <c r="AU6" s="54">
        <v>599.45000000000005</v>
      </c>
      <c r="AV6" s="342">
        <f t="shared" si="0"/>
        <v>4804.7400000000007</v>
      </c>
      <c r="AW6" s="340">
        <f t="shared" si="1"/>
        <v>7258.06</v>
      </c>
      <c r="AX6" s="65">
        <v>108.91</v>
      </c>
      <c r="AY6" s="63">
        <v>270.62</v>
      </c>
      <c r="AZ6" s="66">
        <f t="shared" si="2"/>
        <v>4913.6500000000005</v>
      </c>
      <c r="BA6" s="213">
        <f t="shared" si="3"/>
        <v>7528.68</v>
      </c>
    </row>
    <row r="7" spans="1:58" ht="17.25" x14ac:dyDescent="0.35">
      <c r="A7" s="87" t="s">
        <v>5</v>
      </c>
      <c r="B7" s="211">
        <v>2.4</v>
      </c>
      <c r="C7" s="52">
        <v>2.09</v>
      </c>
      <c r="D7" s="53">
        <v>-0.08</v>
      </c>
      <c r="E7" s="54">
        <v>-0.18</v>
      </c>
      <c r="F7" s="53">
        <v>2</v>
      </c>
      <c r="G7" s="56">
        <v>1.63</v>
      </c>
      <c r="H7" s="59">
        <v>12</v>
      </c>
      <c r="I7" s="54">
        <v>24.18</v>
      </c>
      <c r="J7" s="53">
        <v>25.83</v>
      </c>
      <c r="K7" s="54">
        <v>23.94</v>
      </c>
      <c r="L7" s="53">
        <v>0.02</v>
      </c>
      <c r="M7" s="54">
        <v>3.89</v>
      </c>
      <c r="N7" s="53">
        <v>1.55</v>
      </c>
      <c r="O7" s="54">
        <v>5.18</v>
      </c>
      <c r="P7" s="1">
        <v>6.16</v>
      </c>
      <c r="Q7" s="57">
        <v>6.51</v>
      </c>
      <c r="R7" s="1">
        <v>1.08</v>
      </c>
      <c r="S7" s="2">
        <v>1.75</v>
      </c>
      <c r="T7" s="1">
        <v>1.33</v>
      </c>
      <c r="U7" s="2">
        <v>5.32</v>
      </c>
      <c r="V7" s="1">
        <v>76.180000000000007</v>
      </c>
      <c r="W7" s="2">
        <v>110.17</v>
      </c>
      <c r="X7" s="1">
        <v>55</v>
      </c>
      <c r="Y7" s="3">
        <v>73.44</v>
      </c>
      <c r="Z7" s="198"/>
      <c r="AA7" s="939"/>
      <c r="AB7" s="1">
        <v>4.0999999999999996</v>
      </c>
      <c r="AC7" s="56">
        <v>4.08</v>
      </c>
      <c r="AD7" s="53">
        <v>1.45</v>
      </c>
      <c r="AE7" s="55">
        <v>5.35</v>
      </c>
      <c r="AF7" s="53">
        <v>14.96</v>
      </c>
      <c r="AG7" s="56">
        <v>18.239999999999998</v>
      </c>
      <c r="AH7" s="53">
        <v>4.34</v>
      </c>
      <c r="AI7" s="55">
        <v>8.84</v>
      </c>
      <c r="AJ7" s="53">
        <v>8.31</v>
      </c>
      <c r="AK7" s="56">
        <v>11.53</v>
      </c>
      <c r="AL7" s="543"/>
      <c r="AM7" s="54"/>
      <c r="AN7" s="703">
        <v>45</v>
      </c>
      <c r="AO7" s="60">
        <v>98.05</v>
      </c>
      <c r="AP7" s="61">
        <v>39.33</v>
      </c>
      <c r="AQ7" s="62">
        <v>45.25</v>
      </c>
      <c r="AR7" s="65"/>
      <c r="AS7" s="63"/>
      <c r="AT7" s="53">
        <v>11.45</v>
      </c>
      <c r="AU7" s="54">
        <v>21.04</v>
      </c>
      <c r="AV7" s="342">
        <f t="shared" si="0"/>
        <v>312.40999999999997</v>
      </c>
      <c r="AW7" s="340">
        <f t="shared" si="1"/>
        <v>470.3</v>
      </c>
      <c r="AX7" s="65">
        <v>6.36</v>
      </c>
      <c r="AY7" s="63">
        <v>6.51</v>
      </c>
      <c r="AZ7" s="66">
        <f t="shared" si="2"/>
        <v>318.77</v>
      </c>
      <c r="BA7" s="213">
        <f t="shared" si="3"/>
        <v>476.81</v>
      </c>
    </row>
    <row r="8" spans="1:58" ht="17.25" x14ac:dyDescent="0.35">
      <c r="A8" s="87" t="s">
        <v>6</v>
      </c>
      <c r="B8" s="211">
        <v>3.39</v>
      </c>
      <c r="C8" s="52">
        <v>4.4800000000000004</v>
      </c>
      <c r="D8" s="53">
        <v>0.81</v>
      </c>
      <c r="E8" s="54">
        <v>0.28999999999999998</v>
      </c>
      <c r="F8" s="53">
        <v>0.28999999999999998</v>
      </c>
      <c r="G8" s="56">
        <v>1</v>
      </c>
      <c r="H8" s="59">
        <v>20</v>
      </c>
      <c r="I8" s="54">
        <v>79.290000000000006</v>
      </c>
      <c r="J8" s="53">
        <v>15.69</v>
      </c>
      <c r="K8" s="54">
        <v>31.73</v>
      </c>
      <c r="L8" s="53">
        <v>0.4</v>
      </c>
      <c r="M8" s="54">
        <v>6.66</v>
      </c>
      <c r="N8" s="53"/>
      <c r="O8" s="54"/>
      <c r="P8" s="1">
        <v>4.47</v>
      </c>
      <c r="Q8" s="57">
        <v>1.36</v>
      </c>
      <c r="R8" s="1">
        <v>19.739999999999998</v>
      </c>
      <c r="S8" s="2">
        <v>36.17</v>
      </c>
      <c r="T8" s="1">
        <v>1.38</v>
      </c>
      <c r="U8" s="2">
        <v>2.58</v>
      </c>
      <c r="V8" s="1">
        <v>93.55</v>
      </c>
      <c r="W8" s="2">
        <v>104.07</v>
      </c>
      <c r="X8" s="1">
        <v>53</v>
      </c>
      <c r="Y8" s="3">
        <v>93.37</v>
      </c>
      <c r="Z8" s="198">
        <v>5.76</v>
      </c>
      <c r="AA8" s="939">
        <v>9.89</v>
      </c>
      <c r="AB8" s="1">
        <v>2.88</v>
      </c>
      <c r="AC8" s="56">
        <v>8.86</v>
      </c>
      <c r="AD8" s="53">
        <v>9.24</v>
      </c>
      <c r="AE8" s="55">
        <v>13.22</v>
      </c>
      <c r="AF8" s="53">
        <v>3.37</v>
      </c>
      <c r="AG8" s="56">
        <v>40.01</v>
      </c>
      <c r="AH8" s="53">
        <v>6.89</v>
      </c>
      <c r="AI8" s="55">
        <v>14.78</v>
      </c>
      <c r="AJ8" s="53">
        <v>2.16</v>
      </c>
      <c r="AK8" s="56">
        <v>7.84</v>
      </c>
      <c r="AL8" s="543"/>
      <c r="AM8" s="54"/>
      <c r="AN8" s="703">
        <v>0.12</v>
      </c>
      <c r="AO8" s="60">
        <v>0.68</v>
      </c>
      <c r="AP8" s="61">
        <v>6.75</v>
      </c>
      <c r="AQ8" s="62">
        <v>10.44</v>
      </c>
      <c r="AR8" s="65">
        <v>-8.9999999999999993E-3</v>
      </c>
      <c r="AS8" s="63">
        <v>0.55000000000000004</v>
      </c>
      <c r="AT8" s="53">
        <v>57.2</v>
      </c>
      <c r="AU8" s="54">
        <v>212.33</v>
      </c>
      <c r="AV8" s="342">
        <f t="shared" si="0"/>
        <v>307.08099999999996</v>
      </c>
      <c r="AW8" s="340">
        <f t="shared" si="1"/>
        <v>679.6</v>
      </c>
      <c r="AX8" s="65">
        <v>0.59</v>
      </c>
      <c r="AY8" s="63">
        <v>6.54</v>
      </c>
      <c r="AZ8" s="66">
        <f t="shared" si="2"/>
        <v>307.67099999999994</v>
      </c>
      <c r="BA8" s="213">
        <f t="shared" si="3"/>
        <v>686.14</v>
      </c>
    </row>
    <row r="9" spans="1:58" ht="17.25" x14ac:dyDescent="0.35">
      <c r="A9" s="87" t="s">
        <v>7</v>
      </c>
      <c r="B9" s="75"/>
      <c r="C9" s="32"/>
      <c r="D9" s="66"/>
      <c r="E9" s="69"/>
      <c r="F9" s="66"/>
      <c r="G9" s="935"/>
      <c r="H9" s="64"/>
      <c r="I9" s="69"/>
      <c r="J9" s="66"/>
      <c r="K9" s="69"/>
      <c r="L9" s="66"/>
      <c r="M9" s="69"/>
      <c r="N9" s="66"/>
      <c r="O9" s="69"/>
      <c r="P9" s="4"/>
      <c r="Q9" s="57"/>
      <c r="R9" s="4"/>
      <c r="S9" s="5"/>
      <c r="T9" s="4"/>
      <c r="U9" s="5"/>
      <c r="V9" s="4"/>
      <c r="W9" s="5"/>
      <c r="X9" s="4"/>
      <c r="Y9" s="6"/>
      <c r="Z9" s="198"/>
      <c r="AA9" s="939"/>
      <c r="AB9" s="4"/>
      <c r="AC9" s="935"/>
      <c r="AD9" s="541">
        <v>8.9999999999999993E-3</v>
      </c>
      <c r="AE9" s="940">
        <v>0.02</v>
      </c>
      <c r="AF9" s="66"/>
      <c r="AG9" s="935"/>
      <c r="AH9" s="66"/>
      <c r="AI9" s="934"/>
      <c r="AJ9" s="66"/>
      <c r="AK9" s="935"/>
      <c r="AL9" s="543"/>
      <c r="AM9" s="54"/>
      <c r="AN9" s="704"/>
      <c r="AO9" s="10"/>
      <c r="AP9" s="61"/>
      <c r="AQ9" s="62"/>
      <c r="AR9" s="65"/>
      <c r="AS9" s="63"/>
      <c r="AT9" s="66">
        <v>0.21</v>
      </c>
      <c r="AU9" s="69">
        <v>0.2</v>
      </c>
      <c r="AV9" s="342">
        <f t="shared" si="0"/>
        <v>0.219</v>
      </c>
      <c r="AW9" s="340">
        <f t="shared" si="1"/>
        <v>0.22</v>
      </c>
      <c r="AX9" s="66">
        <v>13.13</v>
      </c>
      <c r="AY9" s="69">
        <v>22.96</v>
      </c>
      <c r="AZ9" s="66">
        <f t="shared" si="2"/>
        <v>13.349</v>
      </c>
      <c r="BA9" s="213">
        <f t="shared" si="3"/>
        <v>23.18</v>
      </c>
    </row>
    <row r="10" spans="1:58" ht="17.25" x14ac:dyDescent="0.35">
      <c r="A10" s="87" t="s">
        <v>15</v>
      </c>
      <c r="B10" s="211"/>
      <c r="C10" s="52"/>
      <c r="D10" s="53"/>
      <c r="E10" s="54"/>
      <c r="F10" s="53"/>
      <c r="G10" s="56"/>
      <c r="H10" s="59"/>
      <c r="I10" s="54"/>
      <c r="J10" s="53"/>
      <c r="K10" s="54"/>
      <c r="L10" s="53"/>
      <c r="M10" s="54"/>
      <c r="N10" s="53"/>
      <c r="O10" s="54"/>
      <c r="P10" s="1"/>
      <c r="Q10" s="57"/>
      <c r="R10" s="1"/>
      <c r="S10" s="2"/>
      <c r="T10" s="1"/>
      <c r="U10" s="2"/>
      <c r="V10" s="1"/>
      <c r="W10" s="2"/>
      <c r="X10" s="1"/>
      <c r="Y10" s="3"/>
      <c r="Z10" s="1"/>
      <c r="AA10" s="197"/>
      <c r="AB10" s="1">
        <v>0.91</v>
      </c>
      <c r="AC10" s="56">
        <v>1.63</v>
      </c>
      <c r="AD10" s="53"/>
      <c r="AE10" s="55">
        <v>0.05</v>
      </c>
      <c r="AF10" s="53"/>
      <c r="AG10" s="56"/>
      <c r="AH10" s="53"/>
      <c r="AI10" s="55"/>
      <c r="AJ10" s="53"/>
      <c r="AK10" s="56"/>
      <c r="AL10" s="543"/>
      <c r="AM10" s="54"/>
      <c r="AN10" s="704"/>
      <c r="AO10" s="60"/>
      <c r="AP10" s="61"/>
      <c r="AQ10" s="62"/>
      <c r="AR10" s="65"/>
      <c r="AS10" s="63"/>
      <c r="AT10" s="53"/>
      <c r="AU10" s="54"/>
      <c r="AV10" s="342">
        <f t="shared" si="0"/>
        <v>0.91</v>
      </c>
      <c r="AW10" s="340">
        <f t="shared" si="1"/>
        <v>1.68</v>
      </c>
      <c r="AX10" s="65"/>
      <c r="AY10" s="63">
        <v>0.1</v>
      </c>
      <c r="AZ10" s="66">
        <f t="shared" si="2"/>
        <v>0.91</v>
      </c>
      <c r="BA10" s="213">
        <f t="shared" si="3"/>
        <v>1.78</v>
      </c>
    </row>
    <row r="11" spans="1:58" ht="17.25" x14ac:dyDescent="0.35">
      <c r="A11" s="115" t="s">
        <v>8</v>
      </c>
      <c r="B11" s="211"/>
      <c r="C11" s="52"/>
      <c r="D11" s="53"/>
      <c r="E11" s="54"/>
      <c r="F11" s="53"/>
      <c r="G11" s="56"/>
      <c r="H11" s="59"/>
      <c r="I11" s="54"/>
      <c r="J11" s="53"/>
      <c r="K11" s="54"/>
      <c r="L11" s="53"/>
      <c r="M11" s="54"/>
      <c r="N11" s="53"/>
      <c r="O11" s="54"/>
      <c r="P11" s="1">
        <v>10.63</v>
      </c>
      <c r="Q11" s="57">
        <v>11</v>
      </c>
      <c r="R11" s="1"/>
      <c r="S11" s="2"/>
      <c r="T11" s="1"/>
      <c r="U11" s="2"/>
      <c r="V11" s="1"/>
      <c r="W11" s="2"/>
      <c r="X11" s="1"/>
      <c r="Y11" s="3"/>
      <c r="Z11" s="1"/>
      <c r="AA11" s="197"/>
      <c r="AB11" s="1">
        <v>12.89</v>
      </c>
      <c r="AC11" s="56">
        <v>9.2100000000000009</v>
      </c>
      <c r="AD11" s="53"/>
      <c r="AE11" s="55"/>
      <c r="AF11" s="53"/>
      <c r="AG11" s="56"/>
      <c r="AH11" s="53"/>
      <c r="AI11" s="55"/>
      <c r="AJ11" s="53"/>
      <c r="AK11" s="56"/>
      <c r="AL11" s="543"/>
      <c r="AM11" s="54"/>
      <c r="AN11" s="703"/>
      <c r="AO11" s="60"/>
      <c r="AP11" s="61"/>
      <c r="AQ11" s="62"/>
      <c r="AR11" s="65">
        <v>0.61</v>
      </c>
      <c r="AS11" s="63">
        <v>4.29</v>
      </c>
      <c r="AT11" s="53"/>
      <c r="AU11" s="54"/>
      <c r="AV11" s="342">
        <f t="shared" si="0"/>
        <v>24.130000000000003</v>
      </c>
      <c r="AW11" s="340">
        <f t="shared" si="1"/>
        <v>24.5</v>
      </c>
      <c r="AX11" s="65"/>
      <c r="AY11" s="63"/>
      <c r="AZ11" s="66">
        <f t="shared" si="2"/>
        <v>24.130000000000003</v>
      </c>
      <c r="BA11" s="213">
        <f t="shared" si="3"/>
        <v>24.5</v>
      </c>
    </row>
    <row r="12" spans="1:58" ht="17.25" x14ac:dyDescent="0.35">
      <c r="A12" s="1178" t="s">
        <v>393</v>
      </c>
      <c r="B12" s="211">
        <v>1.21</v>
      </c>
      <c r="C12" s="52">
        <v>0.6</v>
      </c>
      <c r="D12" s="53">
        <v>3.78</v>
      </c>
      <c r="E12" s="54">
        <v>0.14000000000000001</v>
      </c>
      <c r="F12" s="53">
        <v>0.3</v>
      </c>
      <c r="G12" s="56">
        <v>0.19</v>
      </c>
      <c r="H12" s="59">
        <v>5.15</v>
      </c>
      <c r="I12" s="54">
        <v>4.46</v>
      </c>
      <c r="J12" s="53">
        <v>5.24</v>
      </c>
      <c r="K12" s="54">
        <v>3.27</v>
      </c>
      <c r="L12" s="53">
        <v>2.13</v>
      </c>
      <c r="M12" s="54">
        <v>1.1200000000000001</v>
      </c>
      <c r="N12" s="1169"/>
      <c r="O12" s="54"/>
      <c r="P12" s="1"/>
      <c r="Q12" s="57"/>
      <c r="R12" s="1"/>
      <c r="S12" s="2"/>
      <c r="T12" s="1">
        <v>0.54</v>
      </c>
      <c r="U12" s="2">
        <v>0.38</v>
      </c>
      <c r="V12" s="1">
        <v>231.01</v>
      </c>
      <c r="W12" s="2">
        <v>320.77999999999997</v>
      </c>
      <c r="X12" s="1">
        <v>43.74</v>
      </c>
      <c r="Y12" s="3">
        <v>43.37</v>
      </c>
      <c r="Z12" s="1"/>
      <c r="AA12" s="197"/>
      <c r="AB12" s="1"/>
      <c r="AC12" s="56"/>
      <c r="AD12" s="53">
        <v>0.78</v>
      </c>
      <c r="AE12" s="55">
        <v>1.84</v>
      </c>
      <c r="AF12" s="53">
        <v>15.95</v>
      </c>
      <c r="AG12" s="56">
        <v>16.829999999999998</v>
      </c>
      <c r="AH12" s="53">
        <v>0.76</v>
      </c>
      <c r="AI12" s="55">
        <v>0.04</v>
      </c>
      <c r="AJ12" s="53">
        <v>0.08</v>
      </c>
      <c r="AK12" s="56"/>
      <c r="AL12" s="543"/>
      <c r="AM12" s="54"/>
      <c r="AN12" s="703">
        <v>5.75</v>
      </c>
      <c r="AO12" s="60">
        <v>4.9400000000000004</v>
      </c>
      <c r="AP12" s="61">
        <v>0.79</v>
      </c>
      <c r="AQ12" s="62">
        <v>1.43</v>
      </c>
      <c r="AR12" s="65"/>
      <c r="AS12" s="63"/>
      <c r="AT12" s="53">
        <v>2.34</v>
      </c>
      <c r="AU12" s="54">
        <v>12.65</v>
      </c>
      <c r="AV12" s="342"/>
      <c r="AW12" s="340"/>
      <c r="AX12" s="65">
        <v>28.1</v>
      </c>
      <c r="AY12" s="63">
        <v>16.329999999999998</v>
      </c>
      <c r="AZ12" s="66"/>
      <c r="BA12" s="213"/>
    </row>
    <row r="13" spans="1:58" ht="17.25" x14ac:dyDescent="0.35">
      <c r="A13" s="1178" t="s">
        <v>394</v>
      </c>
      <c r="B13" s="211">
        <v>12.32</v>
      </c>
      <c r="C13" s="52">
        <v>23.39</v>
      </c>
      <c r="D13" s="53"/>
      <c r="E13" s="54"/>
      <c r="F13" s="53">
        <v>8.85</v>
      </c>
      <c r="G13" s="56">
        <v>7.78</v>
      </c>
      <c r="H13" s="59">
        <v>71.260000000000005</v>
      </c>
      <c r="I13" s="54">
        <v>124.57</v>
      </c>
      <c r="J13" s="53">
        <v>9.73</v>
      </c>
      <c r="K13" s="54">
        <v>11.97</v>
      </c>
      <c r="L13" s="53">
        <v>2.66</v>
      </c>
      <c r="M13" s="54">
        <v>6.27</v>
      </c>
      <c r="N13" s="1169">
        <v>13.01</v>
      </c>
      <c r="O13" s="54">
        <v>13.34</v>
      </c>
      <c r="P13" s="1"/>
      <c r="Q13" s="57"/>
      <c r="R13" s="1">
        <v>12.9</v>
      </c>
      <c r="S13" s="2">
        <v>16.36</v>
      </c>
      <c r="T13" s="1">
        <v>25.9</v>
      </c>
      <c r="U13" s="2">
        <v>26.28</v>
      </c>
      <c r="V13" s="1">
        <v>441.7</v>
      </c>
      <c r="W13" s="2">
        <v>545.42999999999995</v>
      </c>
      <c r="X13" s="1">
        <v>263.58999999999997</v>
      </c>
      <c r="Y13" s="3">
        <v>256.97000000000003</v>
      </c>
      <c r="Z13" s="1">
        <v>5.2</v>
      </c>
      <c r="AA13" s="197">
        <v>6.66</v>
      </c>
      <c r="AB13" s="1"/>
      <c r="AC13" s="56"/>
      <c r="AD13" s="53">
        <v>91.65</v>
      </c>
      <c r="AE13" s="55">
        <v>130.08000000000001</v>
      </c>
      <c r="AF13" s="53">
        <v>55.28</v>
      </c>
      <c r="AG13" s="56">
        <v>113.09</v>
      </c>
      <c r="AH13" s="53">
        <v>53.17</v>
      </c>
      <c r="AI13" s="55">
        <v>64.39</v>
      </c>
      <c r="AJ13" s="53">
        <v>90.14</v>
      </c>
      <c r="AK13" s="56">
        <v>115.97</v>
      </c>
      <c r="AL13" s="543"/>
      <c r="AM13" s="54"/>
      <c r="AN13" s="703">
        <v>123.53</v>
      </c>
      <c r="AO13" s="60">
        <v>214.24</v>
      </c>
      <c r="AP13" s="61">
        <v>35.119999999999997</v>
      </c>
      <c r="AQ13" s="62">
        <v>50.63</v>
      </c>
      <c r="AR13" s="65"/>
      <c r="AS13" s="63"/>
      <c r="AT13" s="53">
        <v>25.11</v>
      </c>
      <c r="AU13" s="54">
        <v>50.92</v>
      </c>
      <c r="AV13" s="342"/>
      <c r="AW13" s="340"/>
      <c r="AX13" s="65">
        <v>25.82</v>
      </c>
      <c r="AY13" s="63"/>
      <c r="AZ13" s="66"/>
      <c r="BA13" s="213"/>
    </row>
    <row r="14" spans="1:58" ht="17.25" x14ac:dyDescent="0.35">
      <c r="A14" s="87" t="s">
        <v>16</v>
      </c>
      <c r="B14" s="211">
        <v>0.24</v>
      </c>
      <c r="C14" s="52">
        <v>0.16</v>
      </c>
      <c r="D14" s="53"/>
      <c r="E14" s="54"/>
      <c r="F14" s="53"/>
      <c r="G14" s="56"/>
      <c r="H14" s="59">
        <v>2</v>
      </c>
      <c r="I14" s="54">
        <v>0.4</v>
      </c>
      <c r="J14" s="53">
        <v>0.01</v>
      </c>
      <c r="K14" s="54">
        <v>0.01</v>
      </c>
      <c r="L14" s="53">
        <v>2.2799999999999998</v>
      </c>
      <c r="M14" s="54">
        <v>1.28</v>
      </c>
      <c r="N14" s="326"/>
      <c r="O14" s="54"/>
      <c r="P14" s="1"/>
      <c r="Q14" s="57">
        <v>0.37</v>
      </c>
      <c r="R14" s="1">
        <v>1.25</v>
      </c>
      <c r="S14" s="2">
        <v>0.38</v>
      </c>
      <c r="T14" s="1"/>
      <c r="U14" s="2"/>
      <c r="V14" s="1"/>
      <c r="W14" s="2"/>
      <c r="X14" s="1"/>
      <c r="Y14" s="3"/>
      <c r="Z14" s="1"/>
      <c r="AA14" s="197">
        <v>0.08</v>
      </c>
      <c r="AB14" s="1"/>
      <c r="AC14" s="56"/>
      <c r="AD14" s="53">
        <v>0.86</v>
      </c>
      <c r="AE14" s="55">
        <v>0.56000000000000005</v>
      </c>
      <c r="AF14" s="53"/>
      <c r="AG14" s="56"/>
      <c r="AH14" s="53"/>
      <c r="AI14" s="55">
        <v>0.17</v>
      </c>
      <c r="AJ14" s="53"/>
      <c r="AK14" s="56"/>
      <c r="AL14" s="543"/>
      <c r="AM14" s="54"/>
      <c r="AN14" s="703"/>
      <c r="AO14" s="60">
        <v>0.78</v>
      </c>
      <c r="AP14" s="61"/>
      <c r="AQ14" s="62"/>
      <c r="AR14" s="65"/>
      <c r="AS14" s="63"/>
      <c r="AT14" s="53"/>
      <c r="AU14" s="54"/>
      <c r="AV14" s="342">
        <f t="shared" si="0"/>
        <v>6.64</v>
      </c>
      <c r="AW14" s="340">
        <f t="shared" si="1"/>
        <v>4.1900000000000004</v>
      </c>
      <c r="AX14" s="65"/>
      <c r="AY14" s="63"/>
      <c r="AZ14" s="66">
        <f t="shared" si="2"/>
        <v>6.64</v>
      </c>
      <c r="BA14" s="213">
        <f t="shared" si="3"/>
        <v>4.1900000000000004</v>
      </c>
    </row>
    <row r="15" spans="1:58" ht="17.25" x14ac:dyDescent="0.35">
      <c r="A15" s="87" t="s">
        <v>17</v>
      </c>
      <c r="B15" s="211"/>
      <c r="C15" s="52"/>
      <c r="D15" s="53"/>
      <c r="E15" s="54"/>
      <c r="F15" s="53">
        <v>0.63</v>
      </c>
      <c r="G15" s="56">
        <v>2.15</v>
      </c>
      <c r="H15" s="59"/>
      <c r="I15" s="54"/>
      <c r="J15" s="53"/>
      <c r="K15" s="54"/>
      <c r="L15" s="53"/>
      <c r="M15" s="54"/>
      <c r="N15" s="53"/>
      <c r="O15" s="54"/>
      <c r="P15" s="1"/>
      <c r="Q15" s="57"/>
      <c r="R15" s="1"/>
      <c r="S15" s="2"/>
      <c r="T15" s="1">
        <v>1.19</v>
      </c>
      <c r="U15" s="2">
        <v>0.82</v>
      </c>
      <c r="V15" s="1">
        <v>0.75</v>
      </c>
      <c r="W15" s="2">
        <v>0.72</v>
      </c>
      <c r="X15" s="1">
        <v>10</v>
      </c>
      <c r="Y15" s="3">
        <v>4.17</v>
      </c>
      <c r="Z15" s="1"/>
      <c r="AA15" s="197"/>
      <c r="AB15" s="1"/>
      <c r="AC15" s="56"/>
      <c r="AD15" s="53"/>
      <c r="AE15" s="55"/>
      <c r="AF15" s="53">
        <v>17.79</v>
      </c>
      <c r="AG15" s="56">
        <v>7.51</v>
      </c>
      <c r="AH15" s="53">
        <v>3.99</v>
      </c>
      <c r="AI15" s="55">
        <v>5.32</v>
      </c>
      <c r="AJ15" s="53"/>
      <c r="AK15" s="56"/>
      <c r="AL15" s="543"/>
      <c r="AM15" s="54"/>
      <c r="AN15" s="703">
        <v>0.04</v>
      </c>
      <c r="AO15" s="60"/>
      <c r="AP15" s="61"/>
      <c r="AQ15" s="62"/>
      <c r="AR15" s="65"/>
      <c r="AS15" s="63"/>
      <c r="AT15" s="53"/>
      <c r="AU15" s="54"/>
      <c r="AV15" s="342">
        <f t="shared" si="0"/>
        <v>34.39</v>
      </c>
      <c r="AW15" s="340">
        <f t="shared" si="1"/>
        <v>20.689999999999998</v>
      </c>
      <c r="AX15" s="65">
        <v>7.44</v>
      </c>
      <c r="AY15" s="63">
        <v>6.65</v>
      </c>
      <c r="AZ15" s="66">
        <f t="shared" si="2"/>
        <v>41.83</v>
      </c>
      <c r="BA15" s="213">
        <f t="shared" si="3"/>
        <v>27.339999999999996</v>
      </c>
    </row>
    <row r="16" spans="1:58" ht="17.25" x14ac:dyDescent="0.35">
      <c r="A16" s="87" t="s">
        <v>184</v>
      </c>
      <c r="B16" s="211"/>
      <c r="C16" s="52"/>
      <c r="D16" s="53"/>
      <c r="E16" s="54"/>
      <c r="F16" s="53"/>
      <c r="G16" s="56"/>
      <c r="H16" s="59"/>
      <c r="I16" s="54"/>
      <c r="J16" s="53"/>
      <c r="K16" s="54"/>
      <c r="L16" s="53"/>
      <c r="M16" s="54"/>
      <c r="N16" s="53"/>
      <c r="O16" s="54"/>
      <c r="P16" s="1"/>
      <c r="Q16" s="57"/>
      <c r="R16" s="1"/>
      <c r="S16" s="2"/>
      <c r="T16" s="1"/>
      <c r="U16" s="2"/>
      <c r="V16" s="1"/>
      <c r="W16" s="2"/>
      <c r="X16" s="1"/>
      <c r="Y16" s="3"/>
      <c r="Z16" s="1"/>
      <c r="AA16" s="197"/>
      <c r="AB16" s="1"/>
      <c r="AC16" s="56"/>
      <c r="AD16" s="53"/>
      <c r="AE16" s="55"/>
      <c r="AF16" s="53"/>
      <c r="AG16" s="56"/>
      <c r="AH16" s="53"/>
      <c r="AI16" s="55"/>
      <c r="AJ16" s="53"/>
      <c r="AK16" s="56"/>
      <c r="AL16" s="543"/>
      <c r="AM16" s="54"/>
      <c r="AN16" s="703"/>
      <c r="AO16" s="60"/>
      <c r="AP16" s="61"/>
      <c r="AQ16" s="62"/>
      <c r="AR16" s="65"/>
      <c r="AS16" s="63"/>
      <c r="AT16" s="53"/>
      <c r="AU16" s="54"/>
      <c r="AV16" s="342">
        <f t="shared" si="0"/>
        <v>0</v>
      </c>
      <c r="AW16" s="340">
        <f t="shared" si="1"/>
        <v>0</v>
      </c>
      <c r="AX16" s="65"/>
      <c r="AY16" s="63"/>
      <c r="AZ16" s="66">
        <f t="shared" si="2"/>
        <v>0</v>
      </c>
      <c r="BA16" s="213">
        <f t="shared" si="3"/>
        <v>0</v>
      </c>
    </row>
    <row r="17" spans="1:58" ht="18" thickBot="1" x14ac:dyDescent="0.4">
      <c r="A17" s="214" t="s">
        <v>19</v>
      </c>
      <c r="B17" s="238">
        <v>0.56000000000000005</v>
      </c>
      <c r="C17" s="239">
        <v>0.24</v>
      </c>
      <c r="D17" s="215"/>
      <c r="E17" s="216">
        <v>0.12</v>
      </c>
      <c r="F17" s="215"/>
      <c r="G17" s="218"/>
      <c r="H17" s="219">
        <v>33</v>
      </c>
      <c r="I17" s="216">
        <v>2.02</v>
      </c>
      <c r="J17" s="215">
        <v>0.08</v>
      </c>
      <c r="K17" s="216"/>
      <c r="L17" s="215">
        <v>1.86</v>
      </c>
      <c r="M17" s="216">
        <v>0.1</v>
      </c>
      <c r="N17" s="215"/>
      <c r="O17" s="216"/>
      <c r="P17" s="240">
        <v>0.4</v>
      </c>
      <c r="Q17" s="241">
        <v>0.01</v>
      </c>
      <c r="R17" s="240"/>
      <c r="S17" s="242"/>
      <c r="T17" s="240"/>
      <c r="U17" s="242"/>
      <c r="V17" s="240">
        <v>8.9600000000000009</v>
      </c>
      <c r="W17" s="242">
        <v>2</v>
      </c>
      <c r="X17" s="240">
        <v>12</v>
      </c>
      <c r="Y17" s="243">
        <v>1.31</v>
      </c>
      <c r="Z17" s="240"/>
      <c r="AA17" s="538"/>
      <c r="AB17" s="240"/>
      <c r="AC17" s="218"/>
      <c r="AD17" s="215">
        <v>0.59</v>
      </c>
      <c r="AE17" s="217">
        <v>0.13</v>
      </c>
      <c r="AF17" s="215">
        <v>25.17</v>
      </c>
      <c r="AG17" s="218">
        <v>2.06</v>
      </c>
      <c r="AH17" s="215">
        <v>7.46</v>
      </c>
      <c r="AI17" s="217">
        <v>0.68</v>
      </c>
      <c r="AJ17" s="215">
        <v>0.03</v>
      </c>
      <c r="AK17" s="218"/>
      <c r="AL17" s="544"/>
      <c r="AM17" s="216"/>
      <c r="AN17" s="729">
        <v>0.84</v>
      </c>
      <c r="AO17" s="244">
        <v>0.18</v>
      </c>
      <c r="AP17" s="220"/>
      <c r="AQ17" s="221"/>
      <c r="AR17" s="223"/>
      <c r="AS17" s="222"/>
      <c r="AT17" s="215">
        <v>29.6</v>
      </c>
      <c r="AU17" s="216">
        <v>3.98</v>
      </c>
      <c r="AV17" s="342">
        <f t="shared" si="0"/>
        <v>120.55000000000001</v>
      </c>
      <c r="AW17" s="340">
        <f t="shared" si="1"/>
        <v>12.83</v>
      </c>
      <c r="AX17" s="223"/>
      <c r="AY17" s="222"/>
      <c r="AZ17" s="224">
        <f t="shared" si="2"/>
        <v>120.55000000000001</v>
      </c>
      <c r="BA17" s="225">
        <f t="shared" si="3"/>
        <v>12.83</v>
      </c>
    </row>
    <row r="18" spans="1:58" s="389" customFormat="1" ht="18.75" thickBot="1" x14ac:dyDescent="0.4">
      <c r="A18" s="380" t="s">
        <v>20</v>
      </c>
      <c r="B18" s="381">
        <f>SUM(B5:B17)</f>
        <v>369.00999999999993</v>
      </c>
      <c r="C18" s="381">
        <f t="shared" ref="C18:AH18" si="4">SUM(C5:C17)</f>
        <v>449.39</v>
      </c>
      <c r="D18" s="383">
        <f t="shared" si="4"/>
        <v>4.5</v>
      </c>
      <c r="E18" s="381">
        <f t="shared" si="4"/>
        <v>0.37</v>
      </c>
      <c r="F18" s="383">
        <f t="shared" si="4"/>
        <v>26.12</v>
      </c>
      <c r="G18" s="384">
        <f t="shared" si="4"/>
        <v>27.28</v>
      </c>
      <c r="H18" s="381">
        <f t="shared" si="4"/>
        <v>534.41</v>
      </c>
      <c r="I18" s="381">
        <f t="shared" si="4"/>
        <v>1003.15</v>
      </c>
      <c r="J18" s="383">
        <f t="shared" si="4"/>
        <v>120.14</v>
      </c>
      <c r="K18" s="381">
        <f t="shared" si="4"/>
        <v>147.29</v>
      </c>
      <c r="L18" s="383">
        <f t="shared" si="4"/>
        <v>202.02</v>
      </c>
      <c r="M18" s="381">
        <f t="shared" si="4"/>
        <v>289.55999999999995</v>
      </c>
      <c r="N18" s="383">
        <f t="shared" si="4"/>
        <v>25.41</v>
      </c>
      <c r="O18" s="381">
        <f t="shared" si="4"/>
        <v>31.349999999999998</v>
      </c>
      <c r="P18" s="383">
        <f t="shared" si="4"/>
        <v>62.05</v>
      </c>
      <c r="Q18" s="381">
        <f t="shared" si="4"/>
        <v>74.61</v>
      </c>
      <c r="R18" s="383">
        <f t="shared" si="4"/>
        <v>126.51</v>
      </c>
      <c r="S18" s="381">
        <f t="shared" si="4"/>
        <v>148.12</v>
      </c>
      <c r="T18" s="383">
        <f t="shared" si="4"/>
        <v>36.909999999999997</v>
      </c>
      <c r="U18" s="381">
        <f t="shared" si="4"/>
        <v>51.24</v>
      </c>
      <c r="V18" s="383">
        <f t="shared" si="4"/>
        <v>1869.76</v>
      </c>
      <c r="W18" s="381">
        <f t="shared" si="4"/>
        <v>2254.85</v>
      </c>
      <c r="X18" s="383">
        <f t="shared" si="4"/>
        <v>1500.33</v>
      </c>
      <c r="Y18" s="384">
        <f t="shared" si="4"/>
        <v>1665.7299999999998</v>
      </c>
      <c r="Z18" s="383">
        <f t="shared" si="4"/>
        <v>81.87</v>
      </c>
      <c r="AA18" s="382">
        <f t="shared" si="4"/>
        <v>102.92999999999999</v>
      </c>
      <c r="AB18" s="383">
        <f t="shared" si="4"/>
        <v>161.13</v>
      </c>
      <c r="AC18" s="384">
        <f t="shared" si="4"/>
        <v>307.2</v>
      </c>
      <c r="AD18" s="383">
        <f t="shared" si="4"/>
        <v>384.47899999999998</v>
      </c>
      <c r="AE18" s="382">
        <f t="shared" si="4"/>
        <v>540.93999999999994</v>
      </c>
      <c r="AF18" s="383">
        <f t="shared" si="4"/>
        <v>1104.2900000000002</v>
      </c>
      <c r="AG18" s="384">
        <f t="shared" si="4"/>
        <v>1317.8899999999999</v>
      </c>
      <c r="AH18" s="383">
        <f t="shared" si="4"/>
        <v>229.14000000000001</v>
      </c>
      <c r="AI18" s="382">
        <f t="shared" ref="AI18:AU18" si="5">SUM(AI5:AI17)</f>
        <v>326.79000000000002</v>
      </c>
      <c r="AJ18" s="383">
        <f t="shared" si="5"/>
        <v>175.5</v>
      </c>
      <c r="AK18" s="384">
        <f t="shared" si="5"/>
        <v>227.18</v>
      </c>
      <c r="AL18" s="383">
        <f t="shared" si="5"/>
        <v>0</v>
      </c>
      <c r="AM18" s="381">
        <f t="shared" si="5"/>
        <v>0</v>
      </c>
      <c r="AN18" s="383">
        <f t="shared" si="5"/>
        <v>1836.2799999999997</v>
      </c>
      <c r="AO18" s="381">
        <f t="shared" si="5"/>
        <v>3430.3900000000003</v>
      </c>
      <c r="AP18" s="383">
        <f t="shared" si="5"/>
        <v>87.74</v>
      </c>
      <c r="AQ18" s="381">
        <f t="shared" si="5"/>
        <v>114.07</v>
      </c>
      <c r="AR18" s="383">
        <f t="shared" si="5"/>
        <v>129.12100000000004</v>
      </c>
      <c r="AS18" s="381">
        <f t="shared" si="5"/>
        <v>241.57</v>
      </c>
      <c r="AT18" s="383">
        <f t="shared" si="5"/>
        <v>633.29000000000019</v>
      </c>
      <c r="AU18" s="381">
        <f t="shared" si="5"/>
        <v>1174.5100000000002</v>
      </c>
      <c r="AV18" s="387">
        <f t="shared" si="0"/>
        <v>9700.01</v>
      </c>
      <c r="AW18" s="385">
        <f t="shared" si="1"/>
        <v>13926.409999999998</v>
      </c>
      <c r="AX18" s="386">
        <f>SUM(AX5:AX17)</f>
        <v>8011.5499999999993</v>
      </c>
      <c r="AY18" s="386">
        <f>SUM(AY5:AY17)</f>
        <v>10916.570000000002</v>
      </c>
      <c r="AZ18" s="387">
        <f t="shared" si="2"/>
        <v>17711.559999999998</v>
      </c>
      <c r="BA18" s="388">
        <f t="shared" si="3"/>
        <v>24842.98</v>
      </c>
      <c r="BB18" s="717"/>
      <c r="BC18" s="717"/>
      <c r="BD18" s="717"/>
      <c r="BE18" s="717"/>
      <c r="BF18" s="717"/>
    </row>
    <row r="19" spans="1:58" ht="18" thickBot="1" x14ac:dyDescent="0.4">
      <c r="A19" s="245" t="s">
        <v>11</v>
      </c>
      <c r="B19" s="246"/>
      <c r="C19" s="247"/>
      <c r="D19" s="226"/>
      <c r="E19" s="227"/>
      <c r="F19" s="226">
        <v>0.02</v>
      </c>
      <c r="G19" s="229">
        <v>0.01</v>
      </c>
      <c r="H19" s="230"/>
      <c r="I19" s="227"/>
      <c r="J19" s="226"/>
      <c r="K19" s="227"/>
      <c r="L19" s="226"/>
      <c r="M19" s="227"/>
      <c r="N19" s="226"/>
      <c r="O19" s="227"/>
      <c r="P19" s="248"/>
      <c r="Q19" s="249"/>
      <c r="R19" s="248">
        <v>1.69</v>
      </c>
      <c r="S19" s="250">
        <v>0.84</v>
      </c>
      <c r="T19" s="248"/>
      <c r="U19" s="250"/>
      <c r="V19" s="248"/>
      <c r="W19" s="250"/>
      <c r="X19" s="248"/>
      <c r="Y19" s="251"/>
      <c r="Z19" s="248"/>
      <c r="AA19" s="539"/>
      <c r="AB19" s="226"/>
      <c r="AC19" s="229"/>
      <c r="AD19" s="226">
        <v>0.05</v>
      </c>
      <c r="AE19" s="228">
        <v>0.4</v>
      </c>
      <c r="AF19" s="226"/>
      <c r="AG19" s="229"/>
      <c r="AH19" s="226"/>
      <c r="AI19" s="228"/>
      <c r="AJ19" s="226"/>
      <c r="AK19" s="229"/>
      <c r="AL19" s="545"/>
      <c r="AM19" s="227"/>
      <c r="AN19" s="730"/>
      <c r="AO19" s="252"/>
      <c r="AP19" s="231"/>
      <c r="AQ19" s="232"/>
      <c r="AR19" s="235"/>
      <c r="AS19" s="233"/>
      <c r="AT19" s="226"/>
      <c r="AU19" s="227"/>
      <c r="AV19" s="236">
        <f t="shared" si="0"/>
        <v>1.76</v>
      </c>
      <c r="AW19" s="234">
        <f t="shared" si="1"/>
        <v>1.25</v>
      </c>
      <c r="AX19" s="235"/>
      <c r="AY19" s="233"/>
      <c r="AZ19" s="236">
        <f t="shared" si="2"/>
        <v>1.76</v>
      </c>
      <c r="BA19" s="237">
        <f t="shared" si="3"/>
        <v>1.25</v>
      </c>
    </row>
    <row r="20" spans="1:58" s="389" customFormat="1" ht="18.75" thickBot="1" x14ac:dyDescent="0.4">
      <c r="A20" s="390" t="s">
        <v>12</v>
      </c>
      <c r="B20" s="391">
        <f>B18+B19</f>
        <v>369.00999999999993</v>
      </c>
      <c r="C20" s="391">
        <f t="shared" ref="C20:AH20" si="6">C18+C19</f>
        <v>449.39</v>
      </c>
      <c r="D20" s="393">
        <f t="shared" si="6"/>
        <v>4.5</v>
      </c>
      <c r="E20" s="391">
        <f t="shared" si="6"/>
        <v>0.37</v>
      </c>
      <c r="F20" s="393">
        <f t="shared" si="6"/>
        <v>26.14</v>
      </c>
      <c r="G20" s="394">
        <f t="shared" si="6"/>
        <v>27.290000000000003</v>
      </c>
      <c r="H20" s="391">
        <f t="shared" si="6"/>
        <v>534.41</v>
      </c>
      <c r="I20" s="391">
        <f t="shared" si="6"/>
        <v>1003.15</v>
      </c>
      <c r="J20" s="393">
        <f t="shared" si="6"/>
        <v>120.14</v>
      </c>
      <c r="K20" s="391">
        <f t="shared" si="6"/>
        <v>147.29</v>
      </c>
      <c r="L20" s="393">
        <f t="shared" si="6"/>
        <v>202.02</v>
      </c>
      <c r="M20" s="391">
        <f t="shared" si="6"/>
        <v>289.55999999999995</v>
      </c>
      <c r="N20" s="393">
        <f t="shared" si="6"/>
        <v>25.41</v>
      </c>
      <c r="O20" s="391">
        <f t="shared" si="6"/>
        <v>31.349999999999998</v>
      </c>
      <c r="P20" s="393">
        <f t="shared" si="6"/>
        <v>62.05</v>
      </c>
      <c r="Q20" s="391">
        <f t="shared" si="6"/>
        <v>74.61</v>
      </c>
      <c r="R20" s="393">
        <f t="shared" si="6"/>
        <v>128.20000000000002</v>
      </c>
      <c r="S20" s="391">
        <f t="shared" si="6"/>
        <v>148.96</v>
      </c>
      <c r="T20" s="393">
        <f t="shared" si="6"/>
        <v>36.909999999999997</v>
      </c>
      <c r="U20" s="391">
        <f t="shared" si="6"/>
        <v>51.24</v>
      </c>
      <c r="V20" s="393">
        <f t="shared" si="6"/>
        <v>1869.76</v>
      </c>
      <c r="W20" s="391">
        <f t="shared" si="6"/>
        <v>2254.85</v>
      </c>
      <c r="X20" s="393">
        <f t="shared" si="6"/>
        <v>1500.33</v>
      </c>
      <c r="Y20" s="394">
        <f t="shared" si="6"/>
        <v>1665.7299999999998</v>
      </c>
      <c r="Z20" s="393">
        <f t="shared" si="6"/>
        <v>81.87</v>
      </c>
      <c r="AA20" s="392">
        <f t="shared" si="6"/>
        <v>102.92999999999999</v>
      </c>
      <c r="AB20" s="393">
        <f t="shared" si="6"/>
        <v>161.13</v>
      </c>
      <c r="AC20" s="394">
        <f t="shared" si="6"/>
        <v>307.2</v>
      </c>
      <c r="AD20" s="393">
        <f t="shared" si="6"/>
        <v>384.529</v>
      </c>
      <c r="AE20" s="392">
        <f t="shared" si="6"/>
        <v>541.33999999999992</v>
      </c>
      <c r="AF20" s="393">
        <f t="shared" si="6"/>
        <v>1104.2900000000002</v>
      </c>
      <c r="AG20" s="394">
        <f t="shared" si="6"/>
        <v>1317.8899999999999</v>
      </c>
      <c r="AH20" s="393">
        <f t="shared" si="6"/>
        <v>229.14000000000001</v>
      </c>
      <c r="AI20" s="392">
        <f t="shared" ref="AI20:AU20" si="7">AI18+AI19</f>
        <v>326.79000000000002</v>
      </c>
      <c r="AJ20" s="393">
        <f t="shared" si="7"/>
        <v>175.5</v>
      </c>
      <c r="AK20" s="394">
        <f t="shared" si="7"/>
        <v>227.18</v>
      </c>
      <c r="AL20" s="393">
        <f t="shared" si="7"/>
        <v>0</v>
      </c>
      <c r="AM20" s="391">
        <f t="shared" si="7"/>
        <v>0</v>
      </c>
      <c r="AN20" s="393">
        <f t="shared" si="7"/>
        <v>1836.2799999999997</v>
      </c>
      <c r="AO20" s="391">
        <f t="shared" si="7"/>
        <v>3430.3900000000003</v>
      </c>
      <c r="AP20" s="393">
        <f t="shared" si="7"/>
        <v>87.74</v>
      </c>
      <c r="AQ20" s="391">
        <f t="shared" si="7"/>
        <v>114.07</v>
      </c>
      <c r="AR20" s="393">
        <f t="shared" si="7"/>
        <v>129.12100000000004</v>
      </c>
      <c r="AS20" s="391">
        <f t="shared" si="7"/>
        <v>241.57</v>
      </c>
      <c r="AT20" s="393">
        <f t="shared" si="7"/>
        <v>633.29000000000019</v>
      </c>
      <c r="AU20" s="391">
        <f t="shared" si="7"/>
        <v>1174.5100000000002</v>
      </c>
      <c r="AV20" s="396">
        <f t="shared" si="0"/>
        <v>9701.7699999999986</v>
      </c>
      <c r="AW20" s="395">
        <f t="shared" si="1"/>
        <v>13927.660000000002</v>
      </c>
      <c r="AX20" s="396">
        <f>AX18+AX19</f>
        <v>8011.5499999999993</v>
      </c>
      <c r="AY20" s="396">
        <f>AY18+AY19</f>
        <v>10916.570000000002</v>
      </c>
      <c r="AZ20" s="396">
        <f t="shared" si="2"/>
        <v>17713.32</v>
      </c>
      <c r="BA20" s="397">
        <f t="shared" si="3"/>
        <v>24844.230000000003</v>
      </c>
      <c r="BB20" s="717"/>
      <c r="BC20" s="717"/>
      <c r="BD20" s="717"/>
      <c r="BE20" s="717"/>
      <c r="BF20" s="717"/>
    </row>
    <row r="21" spans="1:58" x14ac:dyDescent="0.3">
      <c r="AT21" s="70"/>
      <c r="AU21" s="70"/>
    </row>
  </sheetData>
  <mergeCells count="29">
    <mergeCell ref="A1:BA1"/>
    <mergeCell ref="A2:BA2"/>
    <mergeCell ref="A3:A4"/>
    <mergeCell ref="N3:O3"/>
    <mergeCell ref="AL3:AM3"/>
    <mergeCell ref="AN3:AO3"/>
    <mergeCell ref="AJ3:AK3"/>
    <mergeCell ref="AH3:AI3"/>
    <mergeCell ref="AP3:AQ3"/>
    <mergeCell ref="AR3:AS3"/>
    <mergeCell ref="Z3:AA3"/>
    <mergeCell ref="AB3:AC3"/>
    <mergeCell ref="AD3:AE3"/>
    <mergeCell ref="AT3:AU3"/>
    <mergeCell ref="X3:Y3"/>
    <mergeCell ref="P3:Q3"/>
    <mergeCell ref="AV3:AW3"/>
    <mergeCell ref="AZ3:BA3"/>
    <mergeCell ref="AX3:AY3"/>
    <mergeCell ref="B3:C3"/>
    <mergeCell ref="D3:E3"/>
    <mergeCell ref="F3:G3"/>
    <mergeCell ref="H3:I3"/>
    <mergeCell ref="J3:K3"/>
    <mergeCell ref="L3:M3"/>
    <mergeCell ref="AF3:AG3"/>
    <mergeCell ref="R3:S3"/>
    <mergeCell ref="T3:U3"/>
    <mergeCell ref="V3:W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</sheetPr>
  <dimension ref="A1:BB22"/>
  <sheetViews>
    <sheetView workbookViewId="0">
      <pane xSplit="1" topLeftCell="B1" activePane="topRight" state="frozen"/>
      <selection pane="topRight" activeCell="AX14" sqref="AX14"/>
    </sheetView>
  </sheetViews>
  <sheetFormatPr defaultRowHeight="14.25" x14ac:dyDescent="0.3"/>
  <cols>
    <col min="1" max="1" width="23.42578125" style="11" bestFit="1" customWidth="1"/>
    <col min="2" max="15" width="11.7109375" style="11" bestFit="1" customWidth="1"/>
    <col min="16" max="16" width="8.7109375" style="11" customWidth="1"/>
    <col min="17" max="25" width="11.7109375" style="11" bestFit="1" customWidth="1"/>
    <col min="26" max="27" width="11.7109375" style="31" bestFit="1" customWidth="1"/>
    <col min="28" max="53" width="11.7109375" style="11" bestFit="1" customWidth="1"/>
    <col min="54" max="54" width="9.5703125" style="11" bestFit="1" customWidth="1"/>
    <col min="55" max="16384" width="9.140625" style="11"/>
  </cols>
  <sheetData>
    <row r="1" spans="1:54" ht="28.5" customHeight="1" x14ac:dyDescent="0.3">
      <c r="A1" s="1437" t="s">
        <v>158</v>
      </c>
      <c r="B1" s="1437"/>
      <c r="C1" s="1437"/>
      <c r="D1" s="1437"/>
      <c r="E1" s="1437"/>
      <c r="F1" s="1437"/>
      <c r="G1" s="1437"/>
      <c r="H1" s="1437"/>
      <c r="I1" s="1437"/>
      <c r="J1" s="1437"/>
      <c r="K1" s="1437"/>
      <c r="L1" s="1437"/>
      <c r="M1" s="1437"/>
      <c r="N1" s="1437"/>
      <c r="O1" s="1437"/>
      <c r="P1" s="1437"/>
      <c r="Q1" s="1437"/>
      <c r="R1" s="1437"/>
      <c r="S1" s="1437"/>
      <c r="T1" s="1437"/>
      <c r="U1" s="1437"/>
      <c r="V1" s="1437"/>
      <c r="W1" s="1437"/>
      <c r="X1" s="1437"/>
      <c r="Y1" s="1437"/>
      <c r="Z1" s="1437"/>
      <c r="AA1" s="1437"/>
      <c r="AB1" s="1437"/>
      <c r="AC1" s="1437"/>
      <c r="AD1" s="1437"/>
      <c r="AE1" s="1437"/>
      <c r="AF1" s="1437"/>
      <c r="AG1" s="1437"/>
      <c r="AH1" s="1437"/>
      <c r="AI1" s="1437"/>
      <c r="AJ1" s="1437"/>
      <c r="AK1" s="1437"/>
      <c r="AL1" s="1437"/>
      <c r="AM1" s="1437"/>
      <c r="AN1" s="1437"/>
      <c r="AO1" s="1437"/>
      <c r="AP1" s="1437"/>
      <c r="AQ1" s="1437"/>
      <c r="AR1" s="1437"/>
      <c r="AS1" s="1437"/>
      <c r="AT1" s="1437"/>
      <c r="AU1" s="1437"/>
      <c r="AV1" s="1437"/>
      <c r="AW1" s="1437"/>
      <c r="AX1" s="1437"/>
      <c r="AY1" s="1437"/>
      <c r="AZ1" s="1437"/>
      <c r="BA1" s="1437"/>
    </row>
    <row r="2" spans="1:54" ht="15" thickBot="1" x14ac:dyDescent="0.35">
      <c r="A2" s="1349"/>
      <c r="B2" s="1349"/>
      <c r="C2" s="1349"/>
      <c r="D2" s="1349"/>
      <c r="E2" s="1349"/>
      <c r="F2" s="1349"/>
      <c r="G2" s="1349"/>
      <c r="H2" s="1349"/>
      <c r="I2" s="1349"/>
      <c r="J2" s="1349"/>
      <c r="K2" s="1349"/>
      <c r="L2" s="1349"/>
      <c r="M2" s="1349"/>
      <c r="N2" s="1349"/>
      <c r="O2" s="1349"/>
      <c r="P2" s="1349"/>
      <c r="Q2" s="1349"/>
      <c r="R2" s="1349"/>
      <c r="S2" s="1349"/>
      <c r="T2" s="1349"/>
      <c r="U2" s="1349"/>
      <c r="V2" s="1349"/>
      <c r="W2" s="1349"/>
      <c r="X2" s="1349"/>
      <c r="Y2" s="1349"/>
      <c r="Z2" s="1349"/>
      <c r="AA2" s="1349"/>
      <c r="AB2" s="1349"/>
      <c r="AC2" s="1349"/>
      <c r="AD2" s="1349"/>
      <c r="AE2" s="1349"/>
      <c r="AF2" s="1349"/>
      <c r="AG2" s="1349"/>
      <c r="AH2" s="1349"/>
      <c r="AI2" s="1349"/>
      <c r="AJ2" s="1349"/>
      <c r="AK2" s="1349"/>
      <c r="AL2" s="1349"/>
      <c r="AM2" s="1349"/>
      <c r="AN2" s="1349"/>
      <c r="AO2" s="1349"/>
      <c r="AP2" s="1349"/>
      <c r="AQ2" s="1349"/>
      <c r="AR2" s="1349"/>
      <c r="AS2" s="1349"/>
      <c r="AT2" s="1349"/>
      <c r="AU2" s="1349"/>
      <c r="AV2" s="1349"/>
      <c r="AW2" s="1349"/>
      <c r="AX2" s="1349"/>
      <c r="AY2" s="1349"/>
      <c r="AZ2" s="1349"/>
      <c r="BA2" s="1349"/>
    </row>
    <row r="3" spans="1:54" ht="53.25" customHeight="1" thickBot="1" x14ac:dyDescent="0.35">
      <c r="A3" s="1438" t="s">
        <v>14</v>
      </c>
      <c r="B3" s="1434" t="s">
        <v>159</v>
      </c>
      <c r="C3" s="1435"/>
      <c r="D3" s="1343" t="s">
        <v>160</v>
      </c>
      <c r="E3" s="1344"/>
      <c r="F3" s="1345" t="s">
        <v>161</v>
      </c>
      <c r="G3" s="1344"/>
      <c r="H3" s="1343" t="s">
        <v>162</v>
      </c>
      <c r="I3" s="1345"/>
      <c r="J3" s="1343" t="s">
        <v>163</v>
      </c>
      <c r="K3" s="1344"/>
      <c r="L3" s="1343" t="s">
        <v>164</v>
      </c>
      <c r="M3" s="1345"/>
      <c r="N3" s="1343" t="s">
        <v>315</v>
      </c>
      <c r="O3" s="1344"/>
      <c r="P3" s="1343" t="s">
        <v>165</v>
      </c>
      <c r="Q3" s="1345"/>
      <c r="R3" s="1343" t="s">
        <v>166</v>
      </c>
      <c r="S3" s="1344"/>
      <c r="T3" s="1345" t="s">
        <v>167</v>
      </c>
      <c r="U3" s="1345"/>
      <c r="V3" s="1343" t="s">
        <v>168</v>
      </c>
      <c r="W3" s="1344"/>
      <c r="X3" s="1345" t="s">
        <v>169</v>
      </c>
      <c r="Y3" s="1344"/>
      <c r="Z3" s="1306" t="s">
        <v>325</v>
      </c>
      <c r="AA3" s="1307"/>
      <c r="AB3" s="1343" t="s">
        <v>170</v>
      </c>
      <c r="AC3" s="1344"/>
      <c r="AD3" s="1346" t="s">
        <v>171</v>
      </c>
      <c r="AE3" s="1436"/>
      <c r="AF3" s="1343" t="s">
        <v>172</v>
      </c>
      <c r="AG3" s="1344"/>
      <c r="AH3" s="1345" t="s">
        <v>173</v>
      </c>
      <c r="AI3" s="1345"/>
      <c r="AJ3" s="1343" t="s">
        <v>174</v>
      </c>
      <c r="AK3" s="1344"/>
      <c r="AL3" s="1346" t="s">
        <v>175</v>
      </c>
      <c r="AM3" s="1436"/>
      <c r="AN3" s="1343" t="s">
        <v>176</v>
      </c>
      <c r="AO3" s="1344"/>
      <c r="AP3" s="1345" t="s">
        <v>177</v>
      </c>
      <c r="AQ3" s="1345"/>
      <c r="AR3" s="1343" t="s">
        <v>178</v>
      </c>
      <c r="AS3" s="1344"/>
      <c r="AT3" s="1343" t="s">
        <v>179</v>
      </c>
      <c r="AU3" s="1345"/>
      <c r="AV3" s="1343" t="s">
        <v>1</v>
      </c>
      <c r="AW3" s="1344"/>
      <c r="AX3" s="1346" t="s">
        <v>180</v>
      </c>
      <c r="AY3" s="1436"/>
      <c r="AZ3" s="1346" t="s">
        <v>2</v>
      </c>
      <c r="BA3" s="1347"/>
    </row>
    <row r="4" spans="1:54" ht="15" thickBot="1" x14ac:dyDescent="0.35">
      <c r="A4" s="1439"/>
      <c r="B4" s="440" t="s">
        <v>321</v>
      </c>
      <c r="C4" s="441" t="s">
        <v>383</v>
      </c>
      <c r="D4" s="440" t="s">
        <v>321</v>
      </c>
      <c r="E4" s="441" t="s">
        <v>383</v>
      </c>
      <c r="F4" s="440" t="s">
        <v>321</v>
      </c>
      <c r="G4" s="441" t="s">
        <v>383</v>
      </c>
      <c r="H4" s="440" t="s">
        <v>321</v>
      </c>
      <c r="I4" s="441" t="s">
        <v>383</v>
      </c>
      <c r="J4" s="440" t="s">
        <v>321</v>
      </c>
      <c r="K4" s="441" t="s">
        <v>383</v>
      </c>
      <c r="L4" s="440" t="s">
        <v>321</v>
      </c>
      <c r="M4" s="441" t="s">
        <v>383</v>
      </c>
      <c r="N4" s="440" t="s">
        <v>321</v>
      </c>
      <c r="O4" s="441" t="s">
        <v>383</v>
      </c>
      <c r="P4" s="440" t="s">
        <v>321</v>
      </c>
      <c r="Q4" s="441" t="s">
        <v>383</v>
      </c>
      <c r="R4" s="440" t="s">
        <v>321</v>
      </c>
      <c r="S4" s="441" t="s">
        <v>383</v>
      </c>
      <c r="T4" s="440" t="s">
        <v>321</v>
      </c>
      <c r="U4" s="441" t="s">
        <v>383</v>
      </c>
      <c r="V4" s="440" t="s">
        <v>321</v>
      </c>
      <c r="W4" s="441" t="s">
        <v>383</v>
      </c>
      <c r="X4" s="440" t="s">
        <v>321</v>
      </c>
      <c r="Y4" s="441" t="s">
        <v>383</v>
      </c>
      <c r="Z4" s="440" t="s">
        <v>321</v>
      </c>
      <c r="AA4" s="441" t="s">
        <v>383</v>
      </c>
      <c r="AB4" s="440" t="s">
        <v>321</v>
      </c>
      <c r="AC4" s="441" t="s">
        <v>383</v>
      </c>
      <c r="AD4" s="440" t="s">
        <v>321</v>
      </c>
      <c r="AE4" s="441" t="s">
        <v>383</v>
      </c>
      <c r="AF4" s="440" t="s">
        <v>321</v>
      </c>
      <c r="AG4" s="441" t="s">
        <v>383</v>
      </c>
      <c r="AH4" s="440" t="s">
        <v>321</v>
      </c>
      <c r="AI4" s="441" t="s">
        <v>383</v>
      </c>
      <c r="AJ4" s="440" t="s">
        <v>321</v>
      </c>
      <c r="AK4" s="441" t="s">
        <v>383</v>
      </c>
      <c r="AL4" s="440" t="s">
        <v>321</v>
      </c>
      <c r="AM4" s="441" t="s">
        <v>383</v>
      </c>
      <c r="AN4" s="440" t="s">
        <v>321</v>
      </c>
      <c r="AO4" s="441" t="s">
        <v>383</v>
      </c>
      <c r="AP4" s="440" t="s">
        <v>321</v>
      </c>
      <c r="AQ4" s="441" t="s">
        <v>383</v>
      </c>
      <c r="AR4" s="440" t="s">
        <v>321</v>
      </c>
      <c r="AS4" s="441" t="s">
        <v>383</v>
      </c>
      <c r="AT4" s="440" t="s">
        <v>321</v>
      </c>
      <c r="AU4" s="441" t="s">
        <v>383</v>
      </c>
      <c r="AV4" s="440" t="s">
        <v>321</v>
      </c>
      <c r="AW4" s="441" t="s">
        <v>383</v>
      </c>
      <c r="AX4" s="440" t="s">
        <v>321</v>
      </c>
      <c r="AY4" s="441" t="s">
        <v>383</v>
      </c>
      <c r="AZ4" s="440" t="s">
        <v>321</v>
      </c>
      <c r="BA4" s="442" t="s">
        <v>383</v>
      </c>
    </row>
    <row r="5" spans="1:54" ht="15" x14ac:dyDescent="0.3">
      <c r="A5" s="34" t="s">
        <v>3</v>
      </c>
      <c r="B5" s="35">
        <v>17076</v>
      </c>
      <c r="C5" s="36">
        <v>16181</v>
      </c>
      <c r="D5" s="40">
        <v>-2</v>
      </c>
      <c r="E5" s="39"/>
      <c r="F5" s="37">
        <v>679</v>
      </c>
      <c r="G5" s="38">
        <v>453</v>
      </c>
      <c r="H5" s="40">
        <v>23905</v>
      </c>
      <c r="I5" s="962">
        <v>42861</v>
      </c>
      <c r="J5" s="40">
        <v>9924</v>
      </c>
      <c r="K5" s="39">
        <v>9422</v>
      </c>
      <c r="L5" s="40">
        <v>157</v>
      </c>
      <c r="M5" s="962">
        <v>60</v>
      </c>
      <c r="N5" s="40">
        <v>1396</v>
      </c>
      <c r="O5" s="39">
        <v>2347</v>
      </c>
      <c r="P5" s="40">
        <v>6097</v>
      </c>
      <c r="Q5" s="962">
        <v>4083</v>
      </c>
      <c r="R5" s="40">
        <v>9404</v>
      </c>
      <c r="S5" s="39">
        <v>10813</v>
      </c>
      <c r="T5" s="37">
        <v>301</v>
      </c>
      <c r="U5" s="962">
        <v>1322</v>
      </c>
      <c r="V5" s="40">
        <v>27250</v>
      </c>
      <c r="W5" s="39">
        <v>29576</v>
      </c>
      <c r="X5" s="37">
        <v>29905</v>
      </c>
      <c r="Y5" s="38">
        <v>32092</v>
      </c>
      <c r="Z5" s="42">
        <v>892</v>
      </c>
      <c r="AA5" s="965">
        <v>704</v>
      </c>
      <c r="AB5" s="40">
        <v>1571</v>
      </c>
      <c r="AC5" s="39">
        <v>2281</v>
      </c>
      <c r="AD5" s="37">
        <v>10838</v>
      </c>
      <c r="AE5" s="962">
        <v>19221</v>
      </c>
      <c r="AF5" s="40">
        <v>20115</v>
      </c>
      <c r="AG5" s="39">
        <v>22619</v>
      </c>
      <c r="AH5" s="37">
        <v>1049</v>
      </c>
      <c r="AI5" s="962">
        <v>3032</v>
      </c>
      <c r="AJ5" s="186">
        <v>12301</v>
      </c>
      <c r="AK5" s="182">
        <v>11683</v>
      </c>
      <c r="AL5" s="288"/>
      <c r="AM5" s="809"/>
      <c r="AN5" s="947">
        <v>92851</v>
      </c>
      <c r="AO5" s="948">
        <v>137865</v>
      </c>
      <c r="AP5" s="43">
        <v>822</v>
      </c>
      <c r="AQ5" s="956">
        <v>867</v>
      </c>
      <c r="AR5" s="286"/>
      <c r="AS5" s="959">
        <v>22</v>
      </c>
      <c r="AT5" s="40">
        <v>19391</v>
      </c>
      <c r="AU5" s="38">
        <v>28075</v>
      </c>
      <c r="AV5" s="285">
        <f t="shared" ref="AV5:AV20" si="0">SUM(B5+D5+F5+H5+J5+L5+N5+P5+R5+T5+V5+X5+Z5+AB5+AD5+AF5+AH5+AJ5+AL5+AN5+AP5+AR5+AT5)</f>
        <v>285922</v>
      </c>
      <c r="AW5" s="285">
        <f t="shared" ref="AW5:AW20" si="1">SUM(C5+E5+G5+I5+K5+M5+O5+Q5+S5+U5+W5+Y5+AA5+AC5+AE5+AG5+AI5+AK5+AM5+AO5+AQ5+AS5+AU5)</f>
        <v>375579</v>
      </c>
      <c r="AX5" s="286">
        <v>2235321</v>
      </c>
      <c r="AY5" s="941">
        <v>3593940</v>
      </c>
      <c r="AZ5" s="285">
        <f t="shared" ref="AZ5:AZ20" si="2">AV5+AX5</f>
        <v>2521243</v>
      </c>
      <c r="BA5" s="44">
        <f t="shared" ref="BA5:BA20" si="3">AW5+AY5</f>
        <v>3969519</v>
      </c>
      <c r="BB5" s="45"/>
    </row>
    <row r="6" spans="1:54" ht="15" x14ac:dyDescent="0.3">
      <c r="A6" s="34" t="s">
        <v>4</v>
      </c>
      <c r="B6" s="46">
        <v>21173</v>
      </c>
      <c r="C6" s="12">
        <v>23631</v>
      </c>
      <c r="D6" s="17"/>
      <c r="E6" s="19"/>
      <c r="F6" s="18">
        <v>1118</v>
      </c>
      <c r="G6" s="16">
        <v>2063</v>
      </c>
      <c r="H6" s="17">
        <v>24166</v>
      </c>
      <c r="I6" s="804">
        <v>43331</v>
      </c>
      <c r="J6" s="17">
        <v>1353</v>
      </c>
      <c r="K6" s="19">
        <v>2364</v>
      </c>
      <c r="L6" s="17">
        <v>16947</v>
      </c>
      <c r="M6" s="804">
        <v>25154</v>
      </c>
      <c r="N6" s="17">
        <v>16</v>
      </c>
      <c r="O6" s="19"/>
      <c r="P6" s="17">
        <v>1467</v>
      </c>
      <c r="Q6" s="804">
        <v>2091</v>
      </c>
      <c r="R6" s="17">
        <v>1672</v>
      </c>
      <c r="S6" s="19">
        <v>1954</v>
      </c>
      <c r="T6" s="18">
        <v>973</v>
      </c>
      <c r="U6" s="804">
        <v>1236</v>
      </c>
      <c r="V6" s="17">
        <v>71250</v>
      </c>
      <c r="W6" s="19">
        <v>78682</v>
      </c>
      <c r="X6" s="18">
        <v>53204</v>
      </c>
      <c r="Y6" s="16">
        <v>51618</v>
      </c>
      <c r="Z6" s="47">
        <v>3926</v>
      </c>
      <c r="AA6" s="842">
        <v>5912</v>
      </c>
      <c r="AB6" s="17">
        <v>20935</v>
      </c>
      <c r="AC6" s="19">
        <v>46630</v>
      </c>
      <c r="AD6" s="18">
        <v>14950</v>
      </c>
      <c r="AE6" s="804">
        <v>15410</v>
      </c>
      <c r="AF6" s="17">
        <v>56151</v>
      </c>
      <c r="AG6" s="19">
        <v>54706</v>
      </c>
      <c r="AH6" s="18">
        <v>23978</v>
      </c>
      <c r="AI6" s="804">
        <v>35795</v>
      </c>
      <c r="AJ6" s="186">
        <v>645</v>
      </c>
      <c r="AK6" s="182">
        <v>872</v>
      </c>
      <c r="AL6" s="289"/>
      <c r="AM6" s="197"/>
      <c r="AN6" s="949">
        <v>137580</v>
      </c>
      <c r="AO6" s="15">
        <v>253660</v>
      </c>
      <c r="AP6" s="20">
        <v>252</v>
      </c>
      <c r="AQ6" s="356"/>
      <c r="AR6" s="196">
        <v>15020</v>
      </c>
      <c r="AS6" s="960">
        <v>29057</v>
      </c>
      <c r="AT6" s="17">
        <v>33133</v>
      </c>
      <c r="AU6" s="16">
        <v>47555</v>
      </c>
      <c r="AV6" s="285">
        <f t="shared" si="0"/>
        <v>499909</v>
      </c>
      <c r="AW6" s="285">
        <f t="shared" si="1"/>
        <v>721721</v>
      </c>
      <c r="AX6" s="196">
        <v>16335</v>
      </c>
      <c r="AY6" s="810">
        <v>38295</v>
      </c>
      <c r="AZ6" s="285">
        <f t="shared" si="2"/>
        <v>516244</v>
      </c>
      <c r="BA6" s="44">
        <f t="shared" si="3"/>
        <v>760016</v>
      </c>
    </row>
    <row r="7" spans="1:54" ht="15" x14ac:dyDescent="0.3">
      <c r="A7" s="34" t="s">
        <v>5</v>
      </c>
      <c r="B7" s="46">
        <v>44</v>
      </c>
      <c r="C7" s="12">
        <v>140</v>
      </c>
      <c r="D7" s="17">
        <v>-6</v>
      </c>
      <c r="E7" s="19">
        <v>-3</v>
      </c>
      <c r="F7" s="18">
        <v>245</v>
      </c>
      <c r="G7" s="16">
        <v>194</v>
      </c>
      <c r="H7" s="17">
        <v>5368</v>
      </c>
      <c r="I7" s="804">
        <v>6789</v>
      </c>
      <c r="J7" s="17">
        <v>3304</v>
      </c>
      <c r="K7" s="19">
        <v>2225</v>
      </c>
      <c r="L7" s="17">
        <v>2</v>
      </c>
      <c r="M7" s="804">
        <v>742</v>
      </c>
      <c r="N7" s="17">
        <v>446</v>
      </c>
      <c r="O7" s="19">
        <v>1237</v>
      </c>
      <c r="P7" s="17">
        <v>686</v>
      </c>
      <c r="Q7" s="804">
        <v>1994</v>
      </c>
      <c r="R7" s="17">
        <v>439</v>
      </c>
      <c r="S7" s="19">
        <v>586</v>
      </c>
      <c r="T7" s="18">
        <v>211</v>
      </c>
      <c r="U7" s="804">
        <v>781</v>
      </c>
      <c r="V7" s="17">
        <v>8653</v>
      </c>
      <c r="W7" s="19">
        <v>13118</v>
      </c>
      <c r="X7" s="18">
        <v>5208</v>
      </c>
      <c r="Y7" s="16">
        <v>5351</v>
      </c>
      <c r="Z7" s="47"/>
      <c r="AA7" s="842"/>
      <c r="AB7" s="17">
        <v>761</v>
      </c>
      <c r="AC7" s="19">
        <v>875</v>
      </c>
      <c r="AD7" s="18">
        <v>130</v>
      </c>
      <c r="AE7" s="804">
        <v>596</v>
      </c>
      <c r="AF7" s="17">
        <v>965</v>
      </c>
      <c r="AG7" s="19">
        <v>1808</v>
      </c>
      <c r="AH7" s="18">
        <v>868</v>
      </c>
      <c r="AI7" s="804">
        <v>1997</v>
      </c>
      <c r="AJ7" s="186">
        <v>2615</v>
      </c>
      <c r="AK7" s="182">
        <v>3792</v>
      </c>
      <c r="AL7" s="289"/>
      <c r="AM7" s="197"/>
      <c r="AN7" s="949">
        <v>8924</v>
      </c>
      <c r="AO7" s="15">
        <v>16561</v>
      </c>
      <c r="AP7" s="20">
        <v>22713</v>
      </c>
      <c r="AQ7" s="356">
        <v>30418</v>
      </c>
      <c r="AR7" s="196"/>
      <c r="AS7" s="960"/>
      <c r="AT7" s="17">
        <v>863</v>
      </c>
      <c r="AU7" s="16">
        <v>1163</v>
      </c>
      <c r="AV7" s="285">
        <f t="shared" si="0"/>
        <v>62439</v>
      </c>
      <c r="AW7" s="285">
        <f t="shared" si="1"/>
        <v>90364</v>
      </c>
      <c r="AX7" s="196">
        <v>3604</v>
      </c>
      <c r="AY7" s="810">
        <v>4830</v>
      </c>
      <c r="AZ7" s="285">
        <f t="shared" si="2"/>
        <v>66043</v>
      </c>
      <c r="BA7" s="44">
        <f t="shared" si="3"/>
        <v>95194</v>
      </c>
    </row>
    <row r="8" spans="1:54" ht="15" x14ac:dyDescent="0.3">
      <c r="A8" s="34" t="s">
        <v>6</v>
      </c>
      <c r="B8" s="46">
        <v>46</v>
      </c>
      <c r="C8" s="12">
        <v>697</v>
      </c>
      <c r="D8" s="17">
        <v>361</v>
      </c>
      <c r="E8" s="19">
        <v>408</v>
      </c>
      <c r="F8" s="18">
        <v>22</v>
      </c>
      <c r="G8" s="16">
        <v>79</v>
      </c>
      <c r="H8" s="17">
        <v>3510</v>
      </c>
      <c r="I8" s="804">
        <v>17538</v>
      </c>
      <c r="J8" s="17">
        <v>1961</v>
      </c>
      <c r="K8" s="19">
        <v>4213</v>
      </c>
      <c r="L8" s="17">
        <v>38</v>
      </c>
      <c r="M8" s="804">
        <v>1762</v>
      </c>
      <c r="N8" s="17"/>
      <c r="O8" s="19"/>
      <c r="P8" s="17">
        <v>647</v>
      </c>
      <c r="Q8" s="804">
        <v>845</v>
      </c>
      <c r="R8" s="17">
        <v>5874</v>
      </c>
      <c r="S8" s="19">
        <v>8544</v>
      </c>
      <c r="T8" s="18">
        <v>119</v>
      </c>
      <c r="U8" s="804">
        <v>288</v>
      </c>
      <c r="V8" s="17">
        <v>8051</v>
      </c>
      <c r="W8" s="19">
        <v>11270</v>
      </c>
      <c r="X8" s="18">
        <v>5766</v>
      </c>
      <c r="Y8" s="16">
        <v>14046</v>
      </c>
      <c r="Z8" s="47">
        <v>199</v>
      </c>
      <c r="AA8" s="842">
        <v>322</v>
      </c>
      <c r="AB8" s="17">
        <v>572</v>
      </c>
      <c r="AC8" s="19">
        <v>3175</v>
      </c>
      <c r="AD8" s="18">
        <v>862</v>
      </c>
      <c r="AE8" s="804">
        <v>3322</v>
      </c>
      <c r="AF8" s="17">
        <v>1236</v>
      </c>
      <c r="AG8" s="19">
        <v>16078</v>
      </c>
      <c r="AH8" s="18">
        <v>1221</v>
      </c>
      <c r="AI8" s="804">
        <v>6887</v>
      </c>
      <c r="AJ8" s="186">
        <v>875</v>
      </c>
      <c r="AK8" s="182">
        <v>1694</v>
      </c>
      <c r="AL8" s="289"/>
      <c r="AM8" s="197"/>
      <c r="AN8" s="950">
        <v>17</v>
      </c>
      <c r="AO8" s="951">
        <v>101</v>
      </c>
      <c r="AP8" s="20">
        <v>4046</v>
      </c>
      <c r="AQ8" s="356">
        <v>6569</v>
      </c>
      <c r="AR8" s="196">
        <v>-2</v>
      </c>
      <c r="AS8" s="960">
        <v>91</v>
      </c>
      <c r="AT8" s="17">
        <v>6971</v>
      </c>
      <c r="AU8" s="16">
        <v>41842</v>
      </c>
      <c r="AV8" s="285">
        <f t="shared" si="0"/>
        <v>42392</v>
      </c>
      <c r="AW8" s="285">
        <f t="shared" si="1"/>
        <v>139771</v>
      </c>
      <c r="AX8" s="196">
        <v>123</v>
      </c>
      <c r="AY8" s="810">
        <v>286</v>
      </c>
      <c r="AZ8" s="285">
        <f t="shared" si="2"/>
        <v>42515</v>
      </c>
      <c r="BA8" s="44">
        <f t="shared" si="3"/>
        <v>140057</v>
      </c>
    </row>
    <row r="9" spans="1:54" ht="15" x14ac:dyDescent="0.3">
      <c r="A9" s="34" t="s">
        <v>7</v>
      </c>
      <c r="B9" s="46"/>
      <c r="C9" s="12"/>
      <c r="D9" s="17"/>
      <c r="E9" s="19"/>
      <c r="F9" s="18"/>
      <c r="G9" s="16"/>
      <c r="H9" s="17"/>
      <c r="I9" s="804"/>
      <c r="J9" s="17"/>
      <c r="K9" s="19"/>
      <c r="L9" s="17"/>
      <c r="M9" s="804"/>
      <c r="N9" s="17"/>
      <c r="O9" s="19"/>
      <c r="P9" s="17"/>
      <c r="Q9" s="804"/>
      <c r="R9" s="17"/>
      <c r="S9" s="19"/>
      <c r="T9" s="18"/>
      <c r="U9" s="804"/>
      <c r="V9" s="17"/>
      <c r="W9" s="19"/>
      <c r="X9" s="18"/>
      <c r="Y9" s="16">
        <v>153</v>
      </c>
      <c r="Z9" s="47"/>
      <c r="AA9" s="842"/>
      <c r="AB9" s="17"/>
      <c r="AC9" s="19"/>
      <c r="AD9" s="612">
        <v>476</v>
      </c>
      <c r="AE9" s="832">
        <v>1015</v>
      </c>
      <c r="AF9" s="17"/>
      <c r="AG9" s="19"/>
      <c r="AH9" s="18"/>
      <c r="AI9" s="804"/>
      <c r="AJ9" s="186"/>
      <c r="AK9" s="182"/>
      <c r="AL9" s="289"/>
      <c r="AM9" s="197"/>
      <c r="AN9" s="952"/>
      <c r="AO9" s="58"/>
      <c r="AP9" s="20"/>
      <c r="AQ9" s="356"/>
      <c r="AR9" s="196"/>
      <c r="AS9" s="960"/>
      <c r="AT9" s="17">
        <v>3619</v>
      </c>
      <c r="AU9" s="16">
        <v>2523</v>
      </c>
      <c r="AV9" s="285">
        <f t="shared" si="0"/>
        <v>4095</v>
      </c>
      <c r="AW9" s="285">
        <f t="shared" si="1"/>
        <v>3691</v>
      </c>
      <c r="AX9" s="17">
        <v>46029</v>
      </c>
      <c r="AY9" s="804">
        <v>35333</v>
      </c>
      <c r="AZ9" s="40">
        <f t="shared" si="2"/>
        <v>50124</v>
      </c>
      <c r="BA9" s="617">
        <f t="shared" si="3"/>
        <v>39024</v>
      </c>
    </row>
    <row r="10" spans="1:54" ht="15" x14ac:dyDescent="0.3">
      <c r="A10" s="34" t="s">
        <v>15</v>
      </c>
      <c r="B10" s="46"/>
      <c r="C10" s="12"/>
      <c r="D10" s="17"/>
      <c r="E10" s="19"/>
      <c r="F10" s="18"/>
      <c r="G10" s="16"/>
      <c r="H10" s="17"/>
      <c r="I10" s="804"/>
      <c r="J10" s="17"/>
      <c r="K10" s="19"/>
      <c r="L10" s="17"/>
      <c r="M10" s="804"/>
      <c r="N10" s="17"/>
      <c r="O10" s="19"/>
      <c r="P10" s="17"/>
      <c r="Q10" s="804"/>
      <c r="R10" s="17"/>
      <c r="S10" s="19"/>
      <c r="T10" s="18"/>
      <c r="U10" s="804"/>
      <c r="V10" s="17"/>
      <c r="W10" s="19"/>
      <c r="X10" s="18"/>
      <c r="Y10" s="16"/>
      <c r="Z10" s="17"/>
      <c r="AA10" s="804"/>
      <c r="AB10" s="17">
        <v>2546</v>
      </c>
      <c r="AC10" s="19">
        <v>2933</v>
      </c>
      <c r="AD10" s="18"/>
      <c r="AE10" s="804">
        <v>2978</v>
      </c>
      <c r="AF10" s="17"/>
      <c r="AG10" s="19"/>
      <c r="AH10" s="18"/>
      <c r="AI10" s="804"/>
      <c r="AJ10" s="186"/>
      <c r="AK10" s="182"/>
      <c r="AL10" s="289"/>
      <c r="AM10" s="197"/>
      <c r="AN10" s="952"/>
      <c r="AO10" s="58"/>
      <c r="AP10" s="20"/>
      <c r="AQ10" s="356"/>
      <c r="AR10" s="196"/>
      <c r="AS10" s="960"/>
      <c r="AT10" s="17"/>
      <c r="AU10" s="16"/>
      <c r="AV10" s="285">
        <f t="shared" si="0"/>
        <v>2546</v>
      </c>
      <c r="AW10" s="285">
        <f t="shared" si="1"/>
        <v>5911</v>
      </c>
      <c r="AX10" s="196"/>
      <c r="AY10" s="810">
        <v>1289</v>
      </c>
      <c r="AZ10" s="285">
        <f t="shared" si="2"/>
        <v>2546</v>
      </c>
      <c r="BA10" s="44">
        <f t="shared" si="3"/>
        <v>7200</v>
      </c>
    </row>
    <row r="11" spans="1:54" s="77" customFormat="1" ht="16.5" x14ac:dyDescent="0.35">
      <c r="A11" s="1170" t="s">
        <v>8</v>
      </c>
      <c r="B11" s="13"/>
      <c r="C11" s="1171"/>
      <c r="D11" s="25"/>
      <c r="E11" s="28"/>
      <c r="F11" s="27"/>
      <c r="G11" s="24"/>
      <c r="H11" s="25"/>
      <c r="I11" s="724"/>
      <c r="J11" s="25"/>
      <c r="K11" s="28"/>
      <c r="L11" s="25"/>
      <c r="M11" s="724"/>
      <c r="N11" s="25"/>
      <c r="O11" s="28"/>
      <c r="P11" s="25"/>
      <c r="Q11" s="724">
        <v>2356</v>
      </c>
      <c r="R11" s="25"/>
      <c r="S11" s="28"/>
      <c r="T11" s="27"/>
      <c r="U11" s="724"/>
      <c r="V11" s="25"/>
      <c r="W11" s="28"/>
      <c r="X11" s="27"/>
      <c r="Y11" s="24"/>
      <c r="Z11" s="25"/>
      <c r="AA11" s="724"/>
      <c r="AB11" s="25">
        <v>5813</v>
      </c>
      <c r="AC11" s="28">
        <v>2716</v>
      </c>
      <c r="AD11" s="27"/>
      <c r="AE11" s="724"/>
      <c r="AF11" s="25"/>
      <c r="AG11" s="28"/>
      <c r="AH11" s="27"/>
      <c r="AI11" s="724"/>
      <c r="AJ11" s="1172"/>
      <c r="AK11" s="190"/>
      <c r="AL11" s="84"/>
      <c r="AM11" s="78"/>
      <c r="AN11" s="1173"/>
      <c r="AO11" s="1174"/>
      <c r="AP11" s="609"/>
      <c r="AQ11" s="1175"/>
      <c r="AR11" s="1176">
        <v>73</v>
      </c>
      <c r="AS11" s="1177">
        <v>383</v>
      </c>
      <c r="AT11" s="25"/>
      <c r="AU11" s="24"/>
      <c r="AV11" s="285">
        <f t="shared" si="0"/>
        <v>5886</v>
      </c>
      <c r="AW11" s="285">
        <f t="shared" si="1"/>
        <v>5455</v>
      </c>
      <c r="AX11" s="1176"/>
      <c r="AY11" s="915"/>
      <c r="AZ11" s="285">
        <f t="shared" si="2"/>
        <v>5886</v>
      </c>
      <c r="BA11" s="44">
        <f t="shared" si="3"/>
        <v>5455</v>
      </c>
    </row>
    <row r="12" spans="1:54" s="1197" customFormat="1" ht="15" x14ac:dyDescent="0.3">
      <c r="A12" s="1178" t="s">
        <v>393</v>
      </c>
      <c r="B12" s="764">
        <v>320</v>
      </c>
      <c r="C12" s="765">
        <v>398</v>
      </c>
      <c r="D12" s="1179">
        <v>3127</v>
      </c>
      <c r="E12" s="1180">
        <v>203</v>
      </c>
      <c r="F12" s="1181">
        <v>33</v>
      </c>
      <c r="G12" s="1182">
        <v>3</v>
      </c>
      <c r="H12" s="1179">
        <v>859</v>
      </c>
      <c r="I12" s="1183">
        <v>638</v>
      </c>
      <c r="J12" s="1179">
        <v>1124</v>
      </c>
      <c r="K12" s="1180">
        <v>770</v>
      </c>
      <c r="L12" s="1179">
        <v>834</v>
      </c>
      <c r="M12" s="1183">
        <v>362</v>
      </c>
      <c r="N12" s="1179"/>
      <c r="O12" s="1180"/>
      <c r="P12" s="1179">
        <v>575</v>
      </c>
      <c r="Q12" s="1183"/>
      <c r="R12" s="1179"/>
      <c r="S12" s="1180"/>
      <c r="T12" s="1181">
        <v>24</v>
      </c>
      <c r="U12" s="1183">
        <v>18</v>
      </c>
      <c r="V12" s="1179">
        <v>39238</v>
      </c>
      <c r="W12" s="1180">
        <v>17368</v>
      </c>
      <c r="X12" s="1181">
        <v>7379</v>
      </c>
      <c r="Y12" s="1182">
        <v>4515</v>
      </c>
      <c r="Z12" s="1179">
        <v>3</v>
      </c>
      <c r="AA12" s="1183"/>
      <c r="AB12" s="1179"/>
      <c r="AC12" s="1180"/>
      <c r="AD12" s="1181">
        <v>569</v>
      </c>
      <c r="AE12" s="1183">
        <v>833</v>
      </c>
      <c r="AF12" s="1179">
        <v>9058</v>
      </c>
      <c r="AG12" s="1180">
        <v>6783</v>
      </c>
      <c r="AH12" s="1181">
        <v>455</v>
      </c>
      <c r="AI12" s="1183">
        <v>191</v>
      </c>
      <c r="AJ12" s="1184">
        <v>2</v>
      </c>
      <c r="AK12" s="1185"/>
      <c r="AL12" s="1186"/>
      <c r="AM12" s="1187"/>
      <c r="AN12" s="1188">
        <v>14374</v>
      </c>
      <c r="AO12" s="1189">
        <v>1501</v>
      </c>
      <c r="AP12" s="1190">
        <v>817</v>
      </c>
      <c r="AQ12" s="1191">
        <v>1502</v>
      </c>
      <c r="AR12" s="1192"/>
      <c r="AS12" s="1193"/>
      <c r="AT12" s="1179">
        <v>1092</v>
      </c>
      <c r="AU12" s="1182">
        <v>1712</v>
      </c>
      <c r="AV12" s="1194"/>
      <c r="AW12" s="1194"/>
      <c r="AX12" s="1192">
        <v>3367</v>
      </c>
      <c r="AY12" s="1195">
        <v>2695</v>
      </c>
      <c r="AZ12" s="1194"/>
      <c r="BA12" s="1196"/>
    </row>
    <row r="13" spans="1:54" s="1197" customFormat="1" ht="15" x14ac:dyDescent="0.3">
      <c r="A13" s="1178" t="s">
        <v>394</v>
      </c>
      <c r="B13" s="764">
        <v>1244</v>
      </c>
      <c r="C13" s="765">
        <v>1646</v>
      </c>
      <c r="D13" s="1179"/>
      <c r="E13" s="1180"/>
      <c r="F13" s="1181">
        <v>836</v>
      </c>
      <c r="G13" s="1182">
        <v>667</v>
      </c>
      <c r="H13" s="1179">
        <v>6719</v>
      </c>
      <c r="I13" s="1183">
        <v>10643</v>
      </c>
      <c r="J13" s="1179">
        <v>1824</v>
      </c>
      <c r="K13" s="1180">
        <v>1371</v>
      </c>
      <c r="L13" s="1179">
        <v>363</v>
      </c>
      <c r="M13" s="1183">
        <v>988</v>
      </c>
      <c r="N13" s="1179">
        <v>2466</v>
      </c>
      <c r="O13" s="1180">
        <v>3334</v>
      </c>
      <c r="P13" s="1179">
        <v>1847</v>
      </c>
      <c r="Q13" s="1183"/>
      <c r="R13" s="1179">
        <v>1793</v>
      </c>
      <c r="S13" s="1180">
        <v>1714</v>
      </c>
      <c r="T13" s="1181">
        <v>3075</v>
      </c>
      <c r="U13" s="1183">
        <v>3355</v>
      </c>
      <c r="V13" s="1179">
        <v>15598</v>
      </c>
      <c r="W13" s="1180">
        <v>16227</v>
      </c>
      <c r="X13" s="1181">
        <v>12906</v>
      </c>
      <c r="Y13" s="1182">
        <v>12206</v>
      </c>
      <c r="Z13" s="1179">
        <v>651</v>
      </c>
      <c r="AA13" s="1183">
        <v>1016</v>
      </c>
      <c r="AB13" s="1179"/>
      <c r="AC13" s="1180"/>
      <c r="AD13" s="1181">
        <v>12815</v>
      </c>
      <c r="AE13" s="1183">
        <v>13638</v>
      </c>
      <c r="AF13" s="1179">
        <v>5566</v>
      </c>
      <c r="AG13" s="1180">
        <v>9749</v>
      </c>
      <c r="AH13" s="1181">
        <v>6713</v>
      </c>
      <c r="AI13" s="1183">
        <v>7409</v>
      </c>
      <c r="AJ13" s="1184">
        <v>16859</v>
      </c>
      <c r="AK13" s="1185">
        <v>18766</v>
      </c>
      <c r="AL13" s="1186"/>
      <c r="AM13" s="1187"/>
      <c r="AN13" s="1188">
        <v>2449</v>
      </c>
      <c r="AO13" s="1189">
        <v>3396</v>
      </c>
      <c r="AP13" s="1190">
        <v>13016</v>
      </c>
      <c r="AQ13" s="1191">
        <v>17986</v>
      </c>
      <c r="AR13" s="1192"/>
      <c r="AS13" s="1193"/>
      <c r="AT13" s="1179">
        <v>3211</v>
      </c>
      <c r="AU13" s="1182">
        <v>4236</v>
      </c>
      <c r="AV13" s="1194"/>
      <c r="AW13" s="1194"/>
      <c r="AX13" s="1192">
        <v>607</v>
      </c>
      <c r="AY13" s="1195"/>
      <c r="AZ13" s="1194"/>
      <c r="BA13" s="1196"/>
    </row>
    <row r="14" spans="1:54" ht="15" x14ac:dyDescent="0.3">
      <c r="A14" s="34" t="s">
        <v>16</v>
      </c>
      <c r="B14" s="46">
        <v>10</v>
      </c>
      <c r="C14" s="12">
        <v>896</v>
      </c>
      <c r="D14" s="17"/>
      <c r="E14" s="19"/>
      <c r="F14" s="18"/>
      <c r="G14" s="16"/>
      <c r="H14" s="17">
        <v>516</v>
      </c>
      <c r="I14" s="804">
        <v>92</v>
      </c>
      <c r="J14" s="17">
        <v>48</v>
      </c>
      <c r="K14" s="19">
        <v>-2</v>
      </c>
      <c r="L14" s="17">
        <v>2173</v>
      </c>
      <c r="M14" s="804">
        <v>1194</v>
      </c>
      <c r="N14" s="17"/>
      <c r="O14" s="19"/>
      <c r="P14" s="17"/>
      <c r="Q14" s="804">
        <v>129</v>
      </c>
      <c r="R14" s="17">
        <v>946</v>
      </c>
      <c r="S14" s="19">
        <v>362</v>
      </c>
      <c r="T14" s="18"/>
      <c r="U14" s="804"/>
      <c r="V14" s="17"/>
      <c r="W14" s="19"/>
      <c r="X14" s="18"/>
      <c r="Y14" s="16"/>
      <c r="Z14" s="17">
        <v>19</v>
      </c>
      <c r="AA14" s="804">
        <v>34</v>
      </c>
      <c r="AB14" s="17"/>
      <c r="AC14" s="19"/>
      <c r="AD14" s="18">
        <v>302</v>
      </c>
      <c r="AE14" s="804">
        <v>149</v>
      </c>
      <c r="AF14" s="17"/>
      <c r="AG14" s="19"/>
      <c r="AH14" s="18"/>
      <c r="AI14" s="804"/>
      <c r="AJ14" s="186"/>
      <c r="AK14" s="182"/>
      <c r="AL14" s="289"/>
      <c r="AM14" s="197"/>
      <c r="AN14" s="949">
        <v>475</v>
      </c>
      <c r="AO14" s="15">
        <v>4</v>
      </c>
      <c r="AP14" s="20"/>
      <c r="AQ14" s="356"/>
      <c r="AR14" s="196"/>
      <c r="AS14" s="960"/>
      <c r="AT14" s="17"/>
      <c r="AU14" s="16"/>
      <c r="AV14" s="285">
        <f t="shared" si="0"/>
        <v>4489</v>
      </c>
      <c r="AW14" s="285">
        <f t="shared" si="1"/>
        <v>2858</v>
      </c>
      <c r="AX14" s="196"/>
      <c r="AY14" s="810"/>
      <c r="AZ14" s="285">
        <f t="shared" si="2"/>
        <v>4489</v>
      </c>
      <c r="BA14" s="44">
        <f t="shared" si="3"/>
        <v>2858</v>
      </c>
    </row>
    <row r="15" spans="1:54" ht="15" x14ac:dyDescent="0.3">
      <c r="A15" s="34" t="s">
        <v>17</v>
      </c>
      <c r="B15" s="46"/>
      <c r="C15" s="12"/>
      <c r="D15" s="17"/>
      <c r="E15" s="19"/>
      <c r="F15" s="18">
        <v>31</v>
      </c>
      <c r="G15" s="16">
        <v>79</v>
      </c>
      <c r="H15" s="17"/>
      <c r="I15" s="804"/>
      <c r="J15" s="17"/>
      <c r="K15" s="19"/>
      <c r="L15" s="17"/>
      <c r="M15" s="804"/>
      <c r="N15" s="17"/>
      <c r="O15" s="19"/>
      <c r="P15" s="17"/>
      <c r="Q15" s="804"/>
      <c r="R15" s="17"/>
      <c r="S15" s="19"/>
      <c r="T15" s="18">
        <v>59</v>
      </c>
      <c r="U15" s="804">
        <v>69</v>
      </c>
      <c r="V15" s="17">
        <v>45</v>
      </c>
      <c r="W15" s="19">
        <v>55</v>
      </c>
      <c r="X15" s="18">
        <v>192</v>
      </c>
      <c r="Y15" s="16">
        <v>340</v>
      </c>
      <c r="Z15" s="17"/>
      <c r="AA15" s="804"/>
      <c r="AB15" s="17"/>
      <c r="AC15" s="19"/>
      <c r="AD15" s="18"/>
      <c r="AE15" s="804"/>
      <c r="AF15" s="17">
        <v>1830</v>
      </c>
      <c r="AG15" s="19">
        <v>824</v>
      </c>
      <c r="AH15" s="18">
        <v>702</v>
      </c>
      <c r="AI15" s="804">
        <v>762</v>
      </c>
      <c r="AJ15" s="186"/>
      <c r="AK15" s="182"/>
      <c r="AL15" s="289"/>
      <c r="AM15" s="197"/>
      <c r="AN15" s="949">
        <v>12</v>
      </c>
      <c r="AO15" s="15"/>
      <c r="AP15" s="20"/>
      <c r="AQ15" s="356"/>
      <c r="AR15" s="196"/>
      <c r="AS15" s="960"/>
      <c r="AT15" s="17"/>
      <c r="AU15" s="16"/>
      <c r="AV15" s="285">
        <f t="shared" si="0"/>
        <v>2871</v>
      </c>
      <c r="AW15" s="285">
        <f t="shared" si="1"/>
        <v>2129</v>
      </c>
      <c r="AX15" s="196">
        <v>2127</v>
      </c>
      <c r="AY15" s="810">
        <v>5096</v>
      </c>
      <c r="AZ15" s="285">
        <f t="shared" si="2"/>
        <v>4998</v>
      </c>
      <c r="BA15" s="44">
        <f t="shared" si="3"/>
        <v>7225</v>
      </c>
    </row>
    <row r="16" spans="1:54" ht="15" x14ac:dyDescent="0.3">
      <c r="A16" s="34" t="s">
        <v>18</v>
      </c>
      <c r="B16" s="46"/>
      <c r="C16" s="12"/>
      <c r="D16" s="17"/>
      <c r="E16" s="19"/>
      <c r="F16" s="18"/>
      <c r="G16" s="16"/>
      <c r="H16" s="17"/>
      <c r="I16" s="804"/>
      <c r="J16" s="17"/>
      <c r="K16" s="19"/>
      <c r="L16" s="17"/>
      <c r="M16" s="804"/>
      <c r="N16" s="17"/>
      <c r="O16" s="19"/>
      <c r="P16" s="17"/>
      <c r="Q16" s="804"/>
      <c r="R16" s="17"/>
      <c r="S16" s="19"/>
      <c r="T16" s="18"/>
      <c r="U16" s="804"/>
      <c r="V16" s="17"/>
      <c r="W16" s="19"/>
      <c r="X16" s="18"/>
      <c r="Y16" s="16"/>
      <c r="Z16" s="17"/>
      <c r="AA16" s="804"/>
      <c r="AB16" s="17"/>
      <c r="AC16" s="19"/>
      <c r="AD16" s="18"/>
      <c r="AE16" s="804"/>
      <c r="AF16" s="17"/>
      <c r="AG16" s="19"/>
      <c r="AH16" s="18"/>
      <c r="AI16" s="804"/>
      <c r="AJ16" s="186"/>
      <c r="AK16" s="182"/>
      <c r="AL16" s="289"/>
      <c r="AM16" s="197"/>
      <c r="AN16" s="949"/>
      <c r="AO16" s="15"/>
      <c r="AP16" s="20"/>
      <c r="AQ16" s="356"/>
      <c r="AR16" s="196"/>
      <c r="AS16" s="960"/>
      <c r="AT16" s="17"/>
      <c r="AU16" s="16"/>
      <c r="AV16" s="285">
        <f t="shared" si="0"/>
        <v>0</v>
      </c>
      <c r="AW16" s="285">
        <f t="shared" si="1"/>
        <v>0</v>
      </c>
      <c r="AX16" s="196"/>
      <c r="AY16" s="810"/>
      <c r="AZ16" s="285">
        <f t="shared" si="2"/>
        <v>0</v>
      </c>
      <c r="BA16" s="44">
        <f t="shared" si="3"/>
        <v>0</v>
      </c>
    </row>
    <row r="17" spans="1:53" ht="15.75" thickBot="1" x14ac:dyDescent="0.35">
      <c r="A17" s="34" t="s">
        <v>19</v>
      </c>
      <c r="B17" s="546">
        <v>233</v>
      </c>
      <c r="C17" s="547">
        <v>14</v>
      </c>
      <c r="D17" s="551"/>
      <c r="E17" s="550"/>
      <c r="F17" s="548"/>
      <c r="G17" s="549"/>
      <c r="H17" s="551">
        <v>5533</v>
      </c>
      <c r="I17" s="963">
        <v>-281</v>
      </c>
      <c r="J17" s="551">
        <v>27</v>
      </c>
      <c r="K17" s="550"/>
      <c r="L17" s="551">
        <v>732</v>
      </c>
      <c r="M17" s="963">
        <v>6</v>
      </c>
      <c r="N17" s="551"/>
      <c r="O17" s="550"/>
      <c r="P17" s="551">
        <v>117</v>
      </c>
      <c r="Q17" s="963">
        <v>37</v>
      </c>
      <c r="R17" s="551"/>
      <c r="S17" s="550"/>
      <c r="T17" s="548"/>
      <c r="U17" s="963"/>
      <c r="V17" s="551">
        <v>369</v>
      </c>
      <c r="W17" s="550">
        <v>28</v>
      </c>
      <c r="X17" s="548">
        <v>4704</v>
      </c>
      <c r="Y17" s="549">
        <v>46</v>
      </c>
      <c r="Z17" s="551"/>
      <c r="AA17" s="963"/>
      <c r="AB17" s="551"/>
      <c r="AC17" s="550"/>
      <c r="AD17" s="548">
        <v>601</v>
      </c>
      <c r="AE17" s="963">
        <v>37</v>
      </c>
      <c r="AF17" s="551">
        <v>15315</v>
      </c>
      <c r="AG17" s="550">
        <v>284</v>
      </c>
      <c r="AH17" s="548">
        <v>7050</v>
      </c>
      <c r="AI17" s="963">
        <v>198</v>
      </c>
      <c r="AJ17" s="870"/>
      <c r="AK17" s="192"/>
      <c r="AL17" s="552"/>
      <c r="AM17" s="538"/>
      <c r="AN17" s="953"/>
      <c r="AO17" s="954">
        <v>884</v>
      </c>
      <c r="AP17" s="553"/>
      <c r="AQ17" s="957"/>
      <c r="AR17" s="554"/>
      <c r="AS17" s="961"/>
      <c r="AT17" s="551">
        <v>13777</v>
      </c>
      <c r="AU17" s="549">
        <v>19</v>
      </c>
      <c r="AV17" s="285">
        <f t="shared" si="0"/>
        <v>48458</v>
      </c>
      <c r="AW17" s="285">
        <f t="shared" si="1"/>
        <v>1272</v>
      </c>
      <c r="AX17" s="554"/>
      <c r="AY17" s="942"/>
      <c r="AZ17" s="945">
        <f t="shared" si="2"/>
        <v>48458</v>
      </c>
      <c r="BA17" s="555">
        <f t="shared" si="3"/>
        <v>1272</v>
      </c>
    </row>
    <row r="18" spans="1:53" s="359" customFormat="1" ht="15" thickBot="1" x14ac:dyDescent="0.35">
      <c r="A18" s="616" t="s">
        <v>20</v>
      </c>
      <c r="B18" s="556">
        <f>SUM(B5:B17)</f>
        <v>40146</v>
      </c>
      <c r="C18" s="556">
        <f t="shared" ref="C18:AH18" si="4">SUM(C5:C17)</f>
        <v>43603</v>
      </c>
      <c r="D18" s="556">
        <f t="shared" si="4"/>
        <v>3480</v>
      </c>
      <c r="E18" s="561">
        <f t="shared" si="4"/>
        <v>608</v>
      </c>
      <c r="F18" s="560">
        <f t="shared" si="4"/>
        <v>2964</v>
      </c>
      <c r="G18" s="556">
        <f t="shared" si="4"/>
        <v>3538</v>
      </c>
      <c r="H18" s="556">
        <f t="shared" si="4"/>
        <v>70576</v>
      </c>
      <c r="I18" s="557">
        <f t="shared" si="4"/>
        <v>121611</v>
      </c>
      <c r="J18" s="556">
        <f t="shared" si="4"/>
        <v>19565</v>
      </c>
      <c r="K18" s="561">
        <f t="shared" si="4"/>
        <v>20363</v>
      </c>
      <c r="L18" s="556">
        <f t="shared" si="4"/>
        <v>21246</v>
      </c>
      <c r="M18" s="557">
        <f t="shared" si="4"/>
        <v>30268</v>
      </c>
      <c r="N18" s="556">
        <f t="shared" si="4"/>
        <v>4324</v>
      </c>
      <c r="O18" s="561">
        <f t="shared" si="4"/>
        <v>6918</v>
      </c>
      <c r="P18" s="556">
        <f t="shared" si="4"/>
        <v>11436</v>
      </c>
      <c r="Q18" s="557">
        <f t="shared" si="4"/>
        <v>11535</v>
      </c>
      <c r="R18" s="556">
        <f t="shared" si="4"/>
        <v>20128</v>
      </c>
      <c r="S18" s="561">
        <f t="shared" si="4"/>
        <v>23973</v>
      </c>
      <c r="T18" s="560">
        <f t="shared" si="4"/>
        <v>4762</v>
      </c>
      <c r="U18" s="557">
        <f t="shared" si="4"/>
        <v>7069</v>
      </c>
      <c r="V18" s="556">
        <f t="shared" si="4"/>
        <v>170454</v>
      </c>
      <c r="W18" s="561">
        <f t="shared" si="4"/>
        <v>166324</v>
      </c>
      <c r="X18" s="560">
        <f t="shared" si="4"/>
        <v>119264</v>
      </c>
      <c r="Y18" s="556">
        <f t="shared" si="4"/>
        <v>120367</v>
      </c>
      <c r="Z18" s="556">
        <f t="shared" si="4"/>
        <v>5690</v>
      </c>
      <c r="AA18" s="557">
        <f t="shared" si="4"/>
        <v>7988</v>
      </c>
      <c r="AB18" s="556">
        <f t="shared" si="4"/>
        <v>32198</v>
      </c>
      <c r="AC18" s="561">
        <f t="shared" si="4"/>
        <v>58610</v>
      </c>
      <c r="AD18" s="560">
        <f t="shared" si="4"/>
        <v>41543</v>
      </c>
      <c r="AE18" s="557">
        <f t="shared" si="4"/>
        <v>57199</v>
      </c>
      <c r="AF18" s="556">
        <f t="shared" si="4"/>
        <v>110236</v>
      </c>
      <c r="AG18" s="561">
        <f t="shared" si="4"/>
        <v>112851</v>
      </c>
      <c r="AH18" s="560">
        <f t="shared" si="4"/>
        <v>42036</v>
      </c>
      <c r="AI18" s="557">
        <f t="shared" ref="AI18:AU18" si="5">SUM(AI5:AI17)</f>
        <v>56271</v>
      </c>
      <c r="AJ18" s="556">
        <f t="shared" si="5"/>
        <v>33297</v>
      </c>
      <c r="AK18" s="561">
        <f t="shared" si="5"/>
        <v>36807</v>
      </c>
      <c r="AL18" s="556">
        <f t="shared" si="5"/>
        <v>0</v>
      </c>
      <c r="AM18" s="636">
        <f t="shared" si="5"/>
        <v>0</v>
      </c>
      <c r="AN18" s="556">
        <f t="shared" si="5"/>
        <v>256682</v>
      </c>
      <c r="AO18" s="559">
        <f t="shared" si="5"/>
        <v>413972</v>
      </c>
      <c r="AP18" s="560">
        <f t="shared" si="5"/>
        <v>41666</v>
      </c>
      <c r="AQ18" s="557">
        <f t="shared" si="5"/>
        <v>57342</v>
      </c>
      <c r="AR18" s="556">
        <f t="shared" si="5"/>
        <v>15091</v>
      </c>
      <c r="AS18" s="561">
        <f t="shared" si="5"/>
        <v>29553</v>
      </c>
      <c r="AT18" s="556">
        <f t="shared" si="5"/>
        <v>82057</v>
      </c>
      <c r="AU18" s="556">
        <f t="shared" si="5"/>
        <v>127125</v>
      </c>
      <c r="AV18" s="562">
        <f t="shared" si="0"/>
        <v>1148841</v>
      </c>
      <c r="AW18" s="563">
        <f t="shared" si="1"/>
        <v>1513895</v>
      </c>
      <c r="AX18" s="564">
        <f>SUM(AX5:AX17)</f>
        <v>2307513</v>
      </c>
      <c r="AY18" s="916">
        <f>SUM(AY5:AY17)</f>
        <v>3681764</v>
      </c>
      <c r="AZ18" s="562">
        <f t="shared" si="2"/>
        <v>3456354</v>
      </c>
      <c r="BA18" s="566">
        <f t="shared" si="3"/>
        <v>5195659</v>
      </c>
    </row>
    <row r="19" spans="1:53" s="635" customFormat="1" ht="15" thickBot="1" x14ac:dyDescent="0.35">
      <c r="A19" s="618" t="s">
        <v>11</v>
      </c>
      <c r="B19" s="619"/>
      <c r="C19" s="620"/>
      <c r="D19" s="624"/>
      <c r="E19" s="623"/>
      <c r="F19" s="621"/>
      <c r="G19" s="622"/>
      <c r="H19" s="624"/>
      <c r="I19" s="964"/>
      <c r="J19" s="624"/>
      <c r="K19" s="623"/>
      <c r="L19" s="624"/>
      <c r="M19" s="964"/>
      <c r="N19" s="624"/>
      <c r="O19" s="623"/>
      <c r="P19" s="628"/>
      <c r="Q19" s="966"/>
      <c r="R19" s="628">
        <v>594</v>
      </c>
      <c r="S19" s="627">
        <v>291</v>
      </c>
      <c r="T19" s="625"/>
      <c r="U19" s="966"/>
      <c r="V19" s="628"/>
      <c r="W19" s="627"/>
      <c r="X19" s="625"/>
      <c r="Y19" s="626"/>
      <c r="Z19" s="628"/>
      <c r="AA19" s="966"/>
      <c r="AB19" s="624"/>
      <c r="AC19" s="623"/>
      <c r="AD19" s="621">
        <v>18</v>
      </c>
      <c r="AE19" s="964">
        <v>150</v>
      </c>
      <c r="AF19" s="624"/>
      <c r="AG19" s="623"/>
      <c r="AH19" s="621"/>
      <c r="AI19" s="964">
        <v>-2</v>
      </c>
      <c r="AJ19" s="624"/>
      <c r="AK19" s="623"/>
      <c r="AL19" s="629"/>
      <c r="AM19" s="946"/>
      <c r="AN19" s="955"/>
      <c r="AO19" s="630"/>
      <c r="AP19" s="631"/>
      <c r="AQ19" s="958"/>
      <c r="AR19" s="633"/>
      <c r="AS19" s="632"/>
      <c r="AT19" s="624"/>
      <c r="AU19" s="622"/>
      <c r="AV19" s="628">
        <f t="shared" si="0"/>
        <v>612</v>
      </c>
      <c r="AW19" s="628">
        <f t="shared" si="1"/>
        <v>439</v>
      </c>
      <c r="AX19" s="633"/>
      <c r="AY19" s="943"/>
      <c r="AZ19" s="628">
        <f t="shared" si="2"/>
        <v>612</v>
      </c>
      <c r="BA19" s="634">
        <f t="shared" si="3"/>
        <v>439</v>
      </c>
    </row>
    <row r="20" spans="1:53" s="359" customFormat="1" ht="15" thickBot="1" x14ac:dyDescent="0.35">
      <c r="A20" s="616" t="s">
        <v>12</v>
      </c>
      <c r="B20" s="556">
        <f>B18+B19</f>
        <v>40146</v>
      </c>
      <c r="C20" s="556">
        <f t="shared" ref="C20:AH20" si="6">C18+C19</f>
        <v>43603</v>
      </c>
      <c r="D20" s="556">
        <f t="shared" si="6"/>
        <v>3480</v>
      </c>
      <c r="E20" s="561">
        <f t="shared" si="6"/>
        <v>608</v>
      </c>
      <c r="F20" s="560">
        <f t="shared" si="6"/>
        <v>2964</v>
      </c>
      <c r="G20" s="556">
        <f t="shared" si="6"/>
        <v>3538</v>
      </c>
      <c r="H20" s="556">
        <f t="shared" si="6"/>
        <v>70576</v>
      </c>
      <c r="I20" s="557">
        <f t="shared" si="6"/>
        <v>121611</v>
      </c>
      <c r="J20" s="556">
        <f t="shared" si="6"/>
        <v>19565</v>
      </c>
      <c r="K20" s="561">
        <f t="shared" si="6"/>
        <v>20363</v>
      </c>
      <c r="L20" s="556">
        <f t="shared" si="6"/>
        <v>21246</v>
      </c>
      <c r="M20" s="557">
        <f t="shared" si="6"/>
        <v>30268</v>
      </c>
      <c r="N20" s="556">
        <f t="shared" si="6"/>
        <v>4324</v>
      </c>
      <c r="O20" s="561">
        <f t="shared" si="6"/>
        <v>6918</v>
      </c>
      <c r="P20" s="556">
        <f t="shared" si="6"/>
        <v>11436</v>
      </c>
      <c r="Q20" s="557">
        <f t="shared" si="6"/>
        <v>11535</v>
      </c>
      <c r="R20" s="556">
        <f t="shared" si="6"/>
        <v>20722</v>
      </c>
      <c r="S20" s="561">
        <f t="shared" si="6"/>
        <v>24264</v>
      </c>
      <c r="T20" s="560">
        <f t="shared" si="6"/>
        <v>4762</v>
      </c>
      <c r="U20" s="557">
        <f t="shared" si="6"/>
        <v>7069</v>
      </c>
      <c r="V20" s="556">
        <f t="shared" si="6"/>
        <v>170454</v>
      </c>
      <c r="W20" s="561">
        <f t="shared" si="6"/>
        <v>166324</v>
      </c>
      <c r="X20" s="560">
        <f t="shared" si="6"/>
        <v>119264</v>
      </c>
      <c r="Y20" s="556">
        <f t="shared" si="6"/>
        <v>120367</v>
      </c>
      <c r="Z20" s="556">
        <f t="shared" si="6"/>
        <v>5690</v>
      </c>
      <c r="AA20" s="557">
        <f t="shared" si="6"/>
        <v>7988</v>
      </c>
      <c r="AB20" s="556">
        <f t="shared" si="6"/>
        <v>32198</v>
      </c>
      <c r="AC20" s="561">
        <f t="shared" si="6"/>
        <v>58610</v>
      </c>
      <c r="AD20" s="560">
        <f t="shared" si="6"/>
        <v>41561</v>
      </c>
      <c r="AE20" s="557">
        <f t="shared" si="6"/>
        <v>57349</v>
      </c>
      <c r="AF20" s="556">
        <f t="shared" si="6"/>
        <v>110236</v>
      </c>
      <c r="AG20" s="561">
        <f t="shared" si="6"/>
        <v>112851</v>
      </c>
      <c r="AH20" s="560">
        <f t="shared" si="6"/>
        <v>42036</v>
      </c>
      <c r="AI20" s="557">
        <f t="shared" ref="AI20:AU20" si="7">AI18+AI19</f>
        <v>56269</v>
      </c>
      <c r="AJ20" s="556">
        <f t="shared" si="7"/>
        <v>33297</v>
      </c>
      <c r="AK20" s="561">
        <f t="shared" si="7"/>
        <v>36807</v>
      </c>
      <c r="AL20" s="556">
        <f t="shared" si="7"/>
        <v>0</v>
      </c>
      <c r="AM20" s="636">
        <f t="shared" si="7"/>
        <v>0</v>
      </c>
      <c r="AN20" s="556">
        <f t="shared" si="7"/>
        <v>256682</v>
      </c>
      <c r="AO20" s="559">
        <f t="shared" si="7"/>
        <v>413972</v>
      </c>
      <c r="AP20" s="560">
        <f t="shared" si="7"/>
        <v>41666</v>
      </c>
      <c r="AQ20" s="557">
        <f t="shared" si="7"/>
        <v>57342</v>
      </c>
      <c r="AR20" s="556">
        <f t="shared" si="7"/>
        <v>15091</v>
      </c>
      <c r="AS20" s="561">
        <f t="shared" si="7"/>
        <v>29553</v>
      </c>
      <c r="AT20" s="556">
        <f t="shared" si="7"/>
        <v>82057</v>
      </c>
      <c r="AU20" s="556">
        <f t="shared" si="7"/>
        <v>127125</v>
      </c>
      <c r="AV20" s="562">
        <f t="shared" si="0"/>
        <v>1149453</v>
      </c>
      <c r="AW20" s="563">
        <f t="shared" si="1"/>
        <v>1514334</v>
      </c>
      <c r="AX20" s="562">
        <f>AX18+AX19</f>
        <v>2307513</v>
      </c>
      <c r="AY20" s="944">
        <f>AY18+AY19</f>
        <v>3681764</v>
      </c>
      <c r="AZ20" s="562">
        <f t="shared" si="2"/>
        <v>3456966</v>
      </c>
      <c r="BA20" s="566">
        <f t="shared" si="3"/>
        <v>5196098</v>
      </c>
    </row>
    <row r="22" spans="1:53" x14ac:dyDescent="0.3">
      <c r="AW22" s="31"/>
    </row>
  </sheetData>
  <mergeCells count="29">
    <mergeCell ref="AR3:AS3"/>
    <mergeCell ref="AP3:AQ3"/>
    <mergeCell ref="D3:E3"/>
    <mergeCell ref="P3:Q3"/>
    <mergeCell ref="L3:M3"/>
    <mergeCell ref="N3:O3"/>
    <mergeCell ref="H3:I3"/>
    <mergeCell ref="J3:K3"/>
    <mergeCell ref="F3:G3"/>
    <mergeCell ref="B3:C3"/>
    <mergeCell ref="AD3:AE3"/>
    <mergeCell ref="AL3:AM3"/>
    <mergeCell ref="A1:BA1"/>
    <mergeCell ref="A2:BA2"/>
    <mergeCell ref="A3:A4"/>
    <mergeCell ref="AB3:AC3"/>
    <mergeCell ref="Z3:AA3"/>
    <mergeCell ref="X3:Y3"/>
    <mergeCell ref="AJ3:AK3"/>
    <mergeCell ref="AZ3:BA3"/>
    <mergeCell ref="AN3:AO3"/>
    <mergeCell ref="AX3:AY3"/>
    <mergeCell ref="AV3:AW3"/>
    <mergeCell ref="AT3:AU3"/>
    <mergeCell ref="AH3:AI3"/>
    <mergeCell ref="AF3:AG3"/>
    <mergeCell ref="R3:S3"/>
    <mergeCell ref="V3:W3"/>
    <mergeCell ref="T3:U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BA44"/>
  <sheetViews>
    <sheetView workbookViewId="0">
      <pane xSplit="1" topLeftCell="B1" activePane="topRight" state="frozen"/>
      <selection pane="topRight" activeCell="C9" sqref="C9"/>
    </sheetView>
  </sheetViews>
  <sheetFormatPr defaultRowHeight="14.25" x14ac:dyDescent="0.3"/>
  <cols>
    <col min="1" max="1" width="31.28515625" style="31" customWidth="1"/>
    <col min="2" max="39" width="11.7109375" style="31" bestFit="1" customWidth="1"/>
    <col min="40" max="41" width="11.7109375" style="199" bestFit="1" customWidth="1"/>
    <col min="42" max="53" width="11.7109375" style="31" bestFit="1" customWidth="1"/>
    <col min="54" max="16384" width="9.140625" style="31"/>
  </cols>
  <sheetData>
    <row r="1" spans="1:53" x14ac:dyDescent="0.3">
      <c r="A1" s="1310" t="s">
        <v>153</v>
      </c>
      <c r="B1" s="1310"/>
      <c r="C1" s="1310"/>
      <c r="D1" s="1310"/>
      <c r="E1" s="1310"/>
      <c r="F1" s="1310"/>
      <c r="G1" s="1310"/>
      <c r="H1" s="1310"/>
      <c r="I1" s="1310"/>
      <c r="J1" s="1310"/>
      <c r="K1" s="1310"/>
      <c r="L1" s="1310"/>
      <c r="M1" s="1310"/>
      <c r="N1" s="1310"/>
      <c r="O1" s="1310"/>
      <c r="P1" s="1310"/>
      <c r="Q1" s="1310"/>
      <c r="R1" s="1310"/>
      <c r="S1" s="1310"/>
      <c r="T1" s="1310"/>
      <c r="U1" s="1310"/>
      <c r="V1" s="1310"/>
      <c r="W1" s="1310"/>
      <c r="X1" s="1310"/>
      <c r="Y1" s="1310"/>
      <c r="Z1" s="1310"/>
      <c r="AA1" s="1310"/>
      <c r="AB1" s="1310"/>
      <c r="AC1" s="1310"/>
      <c r="AD1" s="1310"/>
      <c r="AE1" s="1310"/>
      <c r="AF1" s="1310"/>
      <c r="AG1" s="1310"/>
      <c r="AH1" s="1310"/>
      <c r="AI1" s="1310"/>
      <c r="AJ1" s="1310"/>
      <c r="AK1" s="1310"/>
      <c r="AL1" s="1310"/>
      <c r="AM1" s="1310"/>
      <c r="AN1" s="1310"/>
      <c r="AO1" s="1310"/>
      <c r="AP1" s="1310"/>
      <c r="AQ1" s="1310"/>
      <c r="AR1" s="1310"/>
      <c r="AS1" s="1310"/>
      <c r="AT1" s="1310"/>
      <c r="AU1" s="1310"/>
      <c r="AV1" s="1310"/>
      <c r="AW1" s="1310"/>
      <c r="AX1" s="1310"/>
      <c r="AY1" s="1310"/>
      <c r="AZ1" s="1310"/>
      <c r="BA1" s="1310"/>
    </row>
    <row r="2" spans="1:53" ht="16.5" thickBot="1" x14ac:dyDescent="0.4">
      <c r="A2" s="1311" t="s">
        <v>412</v>
      </c>
      <c r="B2" s="1311"/>
      <c r="C2" s="1311"/>
      <c r="D2" s="1311"/>
      <c r="E2" s="1311"/>
      <c r="F2" s="1311"/>
      <c r="G2" s="1311"/>
      <c r="H2" s="1311"/>
      <c r="I2" s="1311"/>
      <c r="J2" s="1311"/>
      <c r="K2" s="1311"/>
      <c r="L2" s="1311"/>
      <c r="M2" s="1311"/>
      <c r="N2" s="1311"/>
      <c r="O2" s="1311"/>
      <c r="P2" s="1311"/>
      <c r="Q2" s="1311"/>
      <c r="R2" s="1311"/>
      <c r="S2" s="1311"/>
      <c r="T2" s="1311"/>
      <c r="U2" s="1311"/>
      <c r="V2" s="1311"/>
      <c r="W2" s="1311"/>
      <c r="X2" s="1311"/>
      <c r="Y2" s="1311"/>
      <c r="Z2" s="1311"/>
      <c r="AA2" s="1311"/>
      <c r="AB2" s="1311"/>
      <c r="AC2" s="1311"/>
      <c r="AD2" s="1311"/>
      <c r="AE2" s="1311"/>
      <c r="AF2" s="1311"/>
      <c r="AG2" s="1311"/>
      <c r="AH2" s="1311"/>
      <c r="AI2" s="1311"/>
      <c r="AJ2" s="1311"/>
      <c r="AK2" s="1311"/>
      <c r="AL2" s="1311"/>
      <c r="AM2" s="1311"/>
      <c r="AN2" s="1311"/>
      <c r="AO2" s="1311"/>
      <c r="AP2" s="1311"/>
      <c r="AQ2" s="1311"/>
      <c r="AR2" s="1311"/>
      <c r="AS2" s="1311"/>
      <c r="AT2" s="1311"/>
      <c r="AU2" s="1311"/>
      <c r="AV2" s="1311"/>
      <c r="AW2" s="1311"/>
      <c r="AX2" s="1311"/>
      <c r="AY2" s="1311"/>
      <c r="AZ2" s="1311"/>
      <c r="BA2" s="1311"/>
    </row>
    <row r="3" spans="1:53" ht="46.5" customHeight="1" thickBot="1" x14ac:dyDescent="0.35">
      <c r="A3" s="1312" t="s">
        <v>0</v>
      </c>
      <c r="B3" s="1302" t="s">
        <v>159</v>
      </c>
      <c r="C3" s="1303"/>
      <c r="D3" s="1306" t="s">
        <v>160</v>
      </c>
      <c r="E3" s="1307"/>
      <c r="F3" s="1306" t="s">
        <v>161</v>
      </c>
      <c r="G3" s="1308"/>
      <c r="H3" s="1306" t="s">
        <v>162</v>
      </c>
      <c r="I3" s="1307"/>
      <c r="J3" s="1306" t="s">
        <v>163</v>
      </c>
      <c r="K3" s="1307"/>
      <c r="L3" s="1306" t="s">
        <v>164</v>
      </c>
      <c r="M3" s="1307"/>
      <c r="N3" s="1306" t="s">
        <v>316</v>
      </c>
      <c r="O3" s="1308"/>
      <c r="P3" s="1306" t="s">
        <v>165</v>
      </c>
      <c r="Q3" s="1307"/>
      <c r="R3" s="1306" t="s">
        <v>166</v>
      </c>
      <c r="S3" s="1307"/>
      <c r="T3" s="1306" t="s">
        <v>167</v>
      </c>
      <c r="U3" s="1307"/>
      <c r="V3" s="1306" t="s">
        <v>168</v>
      </c>
      <c r="W3" s="1307"/>
      <c r="X3" s="1306" t="s">
        <v>169</v>
      </c>
      <c r="Y3" s="1308"/>
      <c r="Z3" s="1306" t="s">
        <v>325</v>
      </c>
      <c r="AA3" s="1307"/>
      <c r="AB3" s="1306" t="s">
        <v>170</v>
      </c>
      <c r="AC3" s="1307"/>
      <c r="AD3" s="1304" t="s">
        <v>171</v>
      </c>
      <c r="AE3" s="1309"/>
      <c r="AF3" s="1306" t="s">
        <v>172</v>
      </c>
      <c r="AG3" s="1307"/>
      <c r="AH3" s="1306" t="s">
        <v>173</v>
      </c>
      <c r="AI3" s="1307"/>
      <c r="AJ3" s="1306" t="s">
        <v>174</v>
      </c>
      <c r="AK3" s="1308"/>
      <c r="AL3" s="1304" t="s">
        <v>175</v>
      </c>
      <c r="AM3" s="1305"/>
      <c r="AN3" s="1304" t="s">
        <v>176</v>
      </c>
      <c r="AO3" s="1305"/>
      <c r="AP3" s="1306" t="s">
        <v>177</v>
      </c>
      <c r="AQ3" s="1307"/>
      <c r="AR3" s="1306" t="s">
        <v>178</v>
      </c>
      <c r="AS3" s="1307"/>
      <c r="AT3" s="1306" t="s">
        <v>179</v>
      </c>
      <c r="AU3" s="1308"/>
      <c r="AV3" s="1306" t="s">
        <v>1</v>
      </c>
      <c r="AW3" s="1307"/>
      <c r="AX3" s="1304" t="s">
        <v>180</v>
      </c>
      <c r="AY3" s="1309"/>
      <c r="AZ3" s="1304" t="s">
        <v>2</v>
      </c>
      <c r="BA3" s="1309"/>
    </row>
    <row r="4" spans="1:53" s="432" customFormat="1" ht="15" customHeight="1" thickBot="1" x14ac:dyDescent="0.35">
      <c r="A4" s="1313"/>
      <c r="B4" s="440" t="s">
        <v>321</v>
      </c>
      <c r="C4" s="440" t="s">
        <v>383</v>
      </c>
      <c r="D4" s="440" t="s">
        <v>321</v>
      </c>
      <c r="E4" s="440" t="s">
        <v>383</v>
      </c>
      <c r="F4" s="440" t="s">
        <v>321</v>
      </c>
      <c r="G4" s="440" t="s">
        <v>383</v>
      </c>
      <c r="H4" s="440" t="s">
        <v>321</v>
      </c>
      <c r="I4" s="440" t="s">
        <v>383</v>
      </c>
      <c r="J4" s="440" t="s">
        <v>321</v>
      </c>
      <c r="K4" s="440" t="s">
        <v>383</v>
      </c>
      <c r="L4" s="440" t="s">
        <v>321</v>
      </c>
      <c r="M4" s="440" t="s">
        <v>383</v>
      </c>
      <c r="N4" s="440" t="s">
        <v>321</v>
      </c>
      <c r="O4" s="440" t="s">
        <v>383</v>
      </c>
      <c r="P4" s="440" t="s">
        <v>321</v>
      </c>
      <c r="Q4" s="440" t="s">
        <v>383</v>
      </c>
      <c r="R4" s="440" t="s">
        <v>321</v>
      </c>
      <c r="S4" s="440" t="s">
        <v>383</v>
      </c>
      <c r="T4" s="440" t="s">
        <v>321</v>
      </c>
      <c r="U4" s="440" t="s">
        <v>383</v>
      </c>
      <c r="V4" s="440" t="s">
        <v>321</v>
      </c>
      <c r="W4" s="440" t="s">
        <v>383</v>
      </c>
      <c r="X4" s="440" t="s">
        <v>321</v>
      </c>
      <c r="Y4" s="440" t="s">
        <v>383</v>
      </c>
      <c r="Z4" s="440" t="s">
        <v>321</v>
      </c>
      <c r="AA4" s="440" t="s">
        <v>383</v>
      </c>
      <c r="AB4" s="440" t="s">
        <v>321</v>
      </c>
      <c r="AC4" s="440" t="s">
        <v>383</v>
      </c>
      <c r="AD4" s="440" t="s">
        <v>321</v>
      </c>
      <c r="AE4" s="440" t="s">
        <v>383</v>
      </c>
      <c r="AF4" s="440" t="s">
        <v>321</v>
      </c>
      <c r="AG4" s="440" t="s">
        <v>383</v>
      </c>
      <c r="AH4" s="440" t="s">
        <v>321</v>
      </c>
      <c r="AI4" s="440" t="s">
        <v>383</v>
      </c>
      <c r="AJ4" s="440" t="s">
        <v>321</v>
      </c>
      <c r="AK4" s="440" t="s">
        <v>383</v>
      </c>
      <c r="AL4" s="440" t="s">
        <v>321</v>
      </c>
      <c r="AM4" s="440" t="s">
        <v>383</v>
      </c>
      <c r="AN4" s="440" t="s">
        <v>321</v>
      </c>
      <c r="AO4" s="440" t="s">
        <v>383</v>
      </c>
      <c r="AP4" s="440" t="s">
        <v>321</v>
      </c>
      <c r="AQ4" s="440" t="s">
        <v>383</v>
      </c>
      <c r="AR4" s="440" t="s">
        <v>321</v>
      </c>
      <c r="AS4" s="440" t="s">
        <v>383</v>
      </c>
      <c r="AT4" s="440" t="s">
        <v>321</v>
      </c>
      <c r="AU4" s="440" t="s">
        <v>383</v>
      </c>
      <c r="AV4" s="440" t="s">
        <v>321</v>
      </c>
      <c r="AW4" s="440" t="s">
        <v>383</v>
      </c>
      <c r="AX4" s="440" t="s">
        <v>321</v>
      </c>
      <c r="AY4" s="440" t="s">
        <v>383</v>
      </c>
      <c r="AZ4" s="440" t="s">
        <v>321</v>
      </c>
      <c r="BA4" s="903" t="s">
        <v>383</v>
      </c>
    </row>
    <row r="5" spans="1:53" ht="28.5" x14ac:dyDescent="0.3">
      <c r="A5" s="851" t="s">
        <v>120</v>
      </c>
      <c r="B5" s="798">
        <v>9146</v>
      </c>
      <c r="C5" s="798">
        <v>4703</v>
      </c>
      <c r="D5" s="438"/>
      <c r="E5" s="613"/>
      <c r="F5" s="438"/>
      <c r="G5" s="436"/>
      <c r="H5" s="438">
        <v>7933.07</v>
      </c>
      <c r="I5" s="613">
        <v>17111</v>
      </c>
      <c r="J5" s="438">
        <v>-9392.1</v>
      </c>
      <c r="K5" s="613">
        <v>-11698</v>
      </c>
      <c r="L5" s="438"/>
      <c r="M5" s="613"/>
      <c r="N5" s="438">
        <v>525</v>
      </c>
      <c r="O5" s="613">
        <v>3213</v>
      </c>
      <c r="P5" s="438"/>
      <c r="Q5" s="613"/>
      <c r="R5" s="438"/>
      <c r="S5" s="613"/>
      <c r="T5" s="438"/>
      <c r="U5" s="613"/>
      <c r="V5" s="438">
        <v>12489.48</v>
      </c>
      <c r="W5" s="613">
        <v>26158</v>
      </c>
      <c r="X5" s="438">
        <v>28927.16</v>
      </c>
      <c r="Y5" s="613">
        <v>29600</v>
      </c>
      <c r="Z5" s="438"/>
      <c r="AA5" s="613"/>
      <c r="AB5" s="438">
        <v>68.75</v>
      </c>
      <c r="AC5" s="613">
        <v>1385</v>
      </c>
      <c r="AD5" s="438"/>
      <c r="AE5" s="436">
        <v>20391</v>
      </c>
      <c r="AF5" s="438">
        <v>9324.18</v>
      </c>
      <c r="AG5" s="613">
        <v>5742</v>
      </c>
      <c r="AH5" s="438">
        <v>878.87</v>
      </c>
      <c r="AI5" s="613">
        <v>3415</v>
      </c>
      <c r="AJ5" s="438"/>
      <c r="AK5" s="613"/>
      <c r="AL5" s="438"/>
      <c r="AM5" s="613"/>
      <c r="AN5" s="437">
        <v>-4121.1000000000004</v>
      </c>
      <c r="AO5" s="823">
        <v>10034</v>
      </c>
      <c r="AP5" s="438"/>
      <c r="AQ5" s="613"/>
      <c r="AR5" s="438"/>
      <c r="AS5" s="613"/>
      <c r="AT5" s="438"/>
      <c r="AU5" s="613"/>
      <c r="AV5" s="438">
        <f t="shared" ref="AV5:AV24" si="0">SUM(B5+D5+F5+H5+J5+L5+N5+P5+R5+T5+V5+X5+Z5+AB5+AD5+AF5+AH5+AJ5+AL5+AN5+AP5+AR5+AT5)</f>
        <v>55779.310000000005</v>
      </c>
      <c r="AW5" s="798">
        <f t="shared" ref="AW5:AW24" si="1">SUM(C5+E5+G5+I5+K5+M5+O5+Q5+S5+U5+W5+Y5+AA5+AC5+AE5+AG5+AI5+AK5+AM5+AO5+AQ5+AS5+AU5)</f>
        <v>110054</v>
      </c>
      <c r="AX5" s="438"/>
      <c r="AY5" s="435">
        <v>138592</v>
      </c>
      <c r="AZ5" s="438">
        <f t="shared" ref="AZ5:AZ24" si="2">AV5+AX5</f>
        <v>55779.310000000005</v>
      </c>
      <c r="BA5" s="439">
        <f t="shared" ref="BA5:BA24" si="3">AW5+AY5</f>
        <v>248646</v>
      </c>
    </row>
    <row r="6" spans="1:53" x14ac:dyDescent="0.3">
      <c r="A6" s="707" t="s">
        <v>121</v>
      </c>
      <c r="B6" s="317"/>
      <c r="C6" s="317"/>
      <c r="D6" s="17"/>
      <c r="E6" s="804"/>
      <c r="F6" s="17"/>
      <c r="G6" s="19"/>
      <c r="H6" s="17"/>
      <c r="I6" s="804"/>
      <c r="J6" s="17"/>
      <c r="K6" s="804"/>
      <c r="L6" s="17"/>
      <c r="M6" s="804"/>
      <c r="N6" s="17"/>
      <c r="O6" s="804"/>
      <c r="P6" s="17"/>
      <c r="Q6" s="804"/>
      <c r="R6" s="17"/>
      <c r="S6" s="804"/>
      <c r="T6" s="17"/>
      <c r="U6" s="804"/>
      <c r="V6" s="17"/>
      <c r="W6" s="804"/>
      <c r="X6" s="17"/>
      <c r="Y6" s="804"/>
      <c r="Z6" s="274"/>
      <c r="AA6" s="842"/>
      <c r="AB6" s="17"/>
      <c r="AC6" s="804"/>
      <c r="AD6" s="17"/>
      <c r="AE6" s="19"/>
      <c r="AF6" s="17"/>
      <c r="AG6" s="804"/>
      <c r="AH6" s="17"/>
      <c r="AI6" s="804"/>
      <c r="AJ6" s="17"/>
      <c r="AK6" s="804"/>
      <c r="AL6" s="835"/>
      <c r="AM6" s="804"/>
      <c r="AN6" s="257"/>
      <c r="AO6" s="824"/>
      <c r="AP6" s="829"/>
      <c r="AQ6" s="356"/>
      <c r="AR6" s="196"/>
      <c r="AS6" s="810"/>
      <c r="AT6" s="17"/>
      <c r="AU6" s="804"/>
      <c r="AV6" s="13">
        <f t="shared" si="0"/>
        <v>0</v>
      </c>
      <c r="AW6" s="318">
        <f t="shared" si="1"/>
        <v>0</v>
      </c>
      <c r="AX6" s="196"/>
      <c r="AY6" s="21"/>
      <c r="AZ6" s="13">
        <f t="shared" si="2"/>
        <v>0</v>
      </c>
      <c r="BA6" s="796">
        <f t="shared" si="3"/>
        <v>0</v>
      </c>
    </row>
    <row r="7" spans="1:53" ht="28.5" x14ac:dyDescent="0.3">
      <c r="A7" s="707" t="s">
        <v>122</v>
      </c>
      <c r="B7" s="317">
        <v>4536</v>
      </c>
      <c r="C7" s="317">
        <v>5039</v>
      </c>
      <c r="D7" s="17">
        <v>41.66</v>
      </c>
      <c r="E7" s="804">
        <v>29</v>
      </c>
      <c r="F7" s="17">
        <v>1027.0999999999999</v>
      </c>
      <c r="G7" s="19">
        <v>861</v>
      </c>
      <c r="H7" s="17">
        <v>13521.77</v>
      </c>
      <c r="I7" s="804">
        <v>13777</v>
      </c>
      <c r="J7" s="17">
        <v>883.16</v>
      </c>
      <c r="K7" s="804">
        <v>881</v>
      </c>
      <c r="L7" s="17">
        <v>1829.39</v>
      </c>
      <c r="M7" s="804">
        <v>2022</v>
      </c>
      <c r="N7" s="17">
        <v>1211</v>
      </c>
      <c r="O7" s="804">
        <v>1197</v>
      </c>
      <c r="P7" s="17">
        <v>363.62</v>
      </c>
      <c r="Q7" s="804">
        <v>1098</v>
      </c>
      <c r="R7" s="17">
        <v>1969</v>
      </c>
      <c r="S7" s="804">
        <v>2078</v>
      </c>
      <c r="T7" s="17">
        <v>253</v>
      </c>
      <c r="U7" s="804">
        <v>300</v>
      </c>
      <c r="V7" s="17">
        <v>12449.7</v>
      </c>
      <c r="W7" s="804">
        <v>12009</v>
      </c>
      <c r="X7" s="17">
        <v>12383.44</v>
      </c>
      <c r="Y7" s="804">
        <v>17963</v>
      </c>
      <c r="Z7" s="47">
        <v>1207.7</v>
      </c>
      <c r="AA7" s="842">
        <v>1213</v>
      </c>
      <c r="AB7" s="17">
        <v>1253</v>
      </c>
      <c r="AC7" s="804">
        <v>833</v>
      </c>
      <c r="AD7" s="17">
        <v>6795</v>
      </c>
      <c r="AE7" s="19">
        <v>6880</v>
      </c>
      <c r="AF7" s="17">
        <v>5300</v>
      </c>
      <c r="AG7" s="804">
        <v>7008</v>
      </c>
      <c r="AH7" s="17">
        <v>2590.0700000000002</v>
      </c>
      <c r="AI7" s="804">
        <v>3114</v>
      </c>
      <c r="AJ7" s="17">
        <v>2239.0100000000002</v>
      </c>
      <c r="AK7" s="804">
        <v>2113</v>
      </c>
      <c r="AL7" s="835"/>
      <c r="AM7" s="804"/>
      <c r="AN7" s="258">
        <v>13978</v>
      </c>
      <c r="AO7" s="825">
        <v>15964</v>
      </c>
      <c r="AP7" s="829">
        <v>932.93</v>
      </c>
      <c r="AQ7" s="356">
        <v>1006</v>
      </c>
      <c r="AR7" s="196">
        <v>1085</v>
      </c>
      <c r="AS7" s="810">
        <v>1263</v>
      </c>
      <c r="AT7" s="17">
        <v>3490</v>
      </c>
      <c r="AU7" s="804">
        <v>3563</v>
      </c>
      <c r="AV7" s="13">
        <f t="shared" si="0"/>
        <v>89339.549999999988</v>
      </c>
      <c r="AW7" s="318">
        <f t="shared" si="1"/>
        <v>100211</v>
      </c>
      <c r="AX7" s="196">
        <v>465.34</v>
      </c>
      <c r="AY7" s="21">
        <v>13537</v>
      </c>
      <c r="AZ7" s="13">
        <f t="shared" si="2"/>
        <v>89804.889999999985</v>
      </c>
      <c r="BA7" s="796">
        <f t="shared" si="3"/>
        <v>113748</v>
      </c>
    </row>
    <row r="8" spans="1:53" ht="28.5" x14ac:dyDescent="0.3">
      <c r="A8" s="707" t="s">
        <v>123</v>
      </c>
      <c r="B8" s="317">
        <v>509.11</v>
      </c>
      <c r="C8" s="317"/>
      <c r="D8" s="17">
        <v>68.52</v>
      </c>
      <c r="E8" s="804"/>
      <c r="F8" s="17">
        <v>182.75</v>
      </c>
      <c r="G8" s="19">
        <v>4</v>
      </c>
      <c r="H8" s="17">
        <v>8318.6</v>
      </c>
      <c r="I8" s="804">
        <v>10078</v>
      </c>
      <c r="J8" s="17">
        <v>417.77</v>
      </c>
      <c r="K8" s="804">
        <v>102</v>
      </c>
      <c r="L8" s="17">
        <v>336.66</v>
      </c>
      <c r="M8" s="804"/>
      <c r="N8" s="17">
        <v>147</v>
      </c>
      <c r="O8" s="804">
        <v>-23</v>
      </c>
      <c r="P8" s="17">
        <v>458.11</v>
      </c>
      <c r="Q8" s="804">
        <v>265</v>
      </c>
      <c r="R8" s="17">
        <v>626</v>
      </c>
      <c r="S8" s="804"/>
      <c r="T8" s="17">
        <v>238</v>
      </c>
      <c r="U8" s="804"/>
      <c r="V8" s="17">
        <v>13901.02</v>
      </c>
      <c r="W8" s="804">
        <v>2163</v>
      </c>
      <c r="X8" s="17">
        <v>27818.84</v>
      </c>
      <c r="Y8" s="804">
        <v>1</v>
      </c>
      <c r="Z8" s="47">
        <v>0.51</v>
      </c>
      <c r="AA8" s="842">
        <v>10</v>
      </c>
      <c r="AB8" s="17">
        <v>0.94</v>
      </c>
      <c r="AC8" s="804">
        <v>42</v>
      </c>
      <c r="AD8" s="17"/>
      <c r="AE8" s="19">
        <v>10</v>
      </c>
      <c r="AF8" s="17">
        <v>1890.64</v>
      </c>
      <c r="AG8" s="804">
        <v>159</v>
      </c>
      <c r="AH8" s="17"/>
      <c r="AI8" s="804"/>
      <c r="AJ8" s="17">
        <v>1203.6300000000001</v>
      </c>
      <c r="AK8" s="804">
        <v>792</v>
      </c>
      <c r="AL8" s="835"/>
      <c r="AM8" s="804"/>
      <c r="AN8" s="258">
        <v>14708.18</v>
      </c>
      <c r="AO8" s="825">
        <v>2054</v>
      </c>
      <c r="AP8" s="829">
        <v>2181.16</v>
      </c>
      <c r="AQ8" s="356">
        <v>645.55999999999995</v>
      </c>
      <c r="AR8" s="196">
        <v>11.8</v>
      </c>
      <c r="AS8" s="810"/>
      <c r="AT8" s="17">
        <v>2.91</v>
      </c>
      <c r="AU8" s="804">
        <v>15</v>
      </c>
      <c r="AV8" s="13">
        <f t="shared" si="0"/>
        <v>73022.150000000009</v>
      </c>
      <c r="AW8" s="318">
        <f t="shared" si="1"/>
        <v>16317.56</v>
      </c>
      <c r="AX8" s="196">
        <v>7.99</v>
      </c>
      <c r="AY8" s="21">
        <v>1290</v>
      </c>
      <c r="AZ8" s="13">
        <f t="shared" si="2"/>
        <v>73030.140000000014</v>
      </c>
      <c r="BA8" s="796">
        <f t="shared" si="3"/>
        <v>17607.559999999998</v>
      </c>
    </row>
    <row r="9" spans="1:53" ht="28.5" x14ac:dyDescent="0.3">
      <c r="A9" s="707" t="s">
        <v>124</v>
      </c>
      <c r="B9" s="317">
        <v>-73.67</v>
      </c>
      <c r="C9" s="317"/>
      <c r="D9" s="17"/>
      <c r="E9" s="804"/>
      <c r="F9" s="17"/>
      <c r="G9" s="19"/>
      <c r="H9" s="17">
        <v>-551.41999999999996</v>
      </c>
      <c r="I9" s="804">
        <v>-1594</v>
      </c>
      <c r="J9" s="17">
        <v>-111.71</v>
      </c>
      <c r="K9" s="804">
        <v>-78</v>
      </c>
      <c r="L9" s="17"/>
      <c r="M9" s="804"/>
      <c r="N9" s="17">
        <v>-2</v>
      </c>
      <c r="O9" s="804"/>
      <c r="P9" s="17">
        <v>-858.24</v>
      </c>
      <c r="Q9" s="804">
        <v>-266</v>
      </c>
      <c r="R9" s="17"/>
      <c r="S9" s="804"/>
      <c r="T9" s="17"/>
      <c r="U9" s="804"/>
      <c r="V9" s="17">
        <v>-417.25</v>
      </c>
      <c r="W9" s="804">
        <v>-4112</v>
      </c>
      <c r="X9" s="17">
        <v>-1.43</v>
      </c>
      <c r="Y9" s="804"/>
      <c r="Z9" s="47"/>
      <c r="AA9" s="842"/>
      <c r="AB9" s="17"/>
      <c r="AC9" s="804"/>
      <c r="AD9" s="17">
        <v>-16.260000000000002</v>
      </c>
      <c r="AE9" s="19"/>
      <c r="AF9" s="17"/>
      <c r="AG9" s="804">
        <v>-460</v>
      </c>
      <c r="AH9" s="17"/>
      <c r="AI9" s="804"/>
      <c r="AJ9" s="17">
        <v>-114.16</v>
      </c>
      <c r="AK9" s="804">
        <v>-24</v>
      </c>
      <c r="AL9" s="835"/>
      <c r="AM9" s="804"/>
      <c r="AN9" s="258">
        <v>-13.65</v>
      </c>
      <c r="AO9" s="825">
        <v>-35</v>
      </c>
      <c r="AP9" s="829">
        <v>-172.64</v>
      </c>
      <c r="AQ9" s="356">
        <v>-78.03</v>
      </c>
      <c r="AR9" s="196">
        <v>-0.37</v>
      </c>
      <c r="AS9" s="810"/>
      <c r="AT9" s="17"/>
      <c r="AU9" s="804">
        <v>-98</v>
      </c>
      <c r="AV9" s="13">
        <f t="shared" si="0"/>
        <v>-2332.7999999999997</v>
      </c>
      <c r="AW9" s="318">
        <f t="shared" si="1"/>
        <v>-6745.03</v>
      </c>
      <c r="AX9" s="196">
        <v>-8.49</v>
      </c>
      <c r="AY9" s="21">
        <v>-28</v>
      </c>
      <c r="AZ9" s="13">
        <f t="shared" si="2"/>
        <v>-2341.2899999999995</v>
      </c>
      <c r="BA9" s="796">
        <f t="shared" si="3"/>
        <v>-6773.03</v>
      </c>
    </row>
    <row r="10" spans="1:53" ht="42.75" x14ac:dyDescent="0.3">
      <c r="A10" s="707" t="s">
        <v>125</v>
      </c>
      <c r="B10" s="318">
        <v>148</v>
      </c>
      <c r="C10" s="318">
        <v>404</v>
      </c>
      <c r="D10" s="25">
        <v>38.89</v>
      </c>
      <c r="E10" s="724">
        <v>84</v>
      </c>
      <c r="F10" s="25"/>
      <c r="G10" s="28"/>
      <c r="H10" s="25">
        <v>-145.13999999999999</v>
      </c>
      <c r="I10" s="724">
        <v>543</v>
      </c>
      <c r="J10" s="25"/>
      <c r="K10" s="724">
        <v>26</v>
      </c>
      <c r="L10" s="25"/>
      <c r="M10" s="724">
        <v>85</v>
      </c>
      <c r="N10" s="25">
        <v>-88</v>
      </c>
      <c r="O10" s="724">
        <v>-74</v>
      </c>
      <c r="P10" s="25"/>
      <c r="Q10" s="724"/>
      <c r="R10" s="25">
        <v>-134</v>
      </c>
      <c r="S10" s="724">
        <v>-120</v>
      </c>
      <c r="T10" s="25">
        <v>13</v>
      </c>
      <c r="U10" s="724">
        <v>50</v>
      </c>
      <c r="V10" s="25"/>
      <c r="W10" s="724"/>
      <c r="X10" s="25">
        <v>-286.38</v>
      </c>
      <c r="Y10" s="724">
        <v>-387</v>
      </c>
      <c r="Z10" s="47">
        <v>61.95</v>
      </c>
      <c r="AA10" s="842">
        <v>118</v>
      </c>
      <c r="AB10" s="25">
        <v>-17.46</v>
      </c>
      <c r="AC10" s="724">
        <v>64.239999999999995</v>
      </c>
      <c r="AD10" s="840">
        <v>-63</v>
      </c>
      <c r="AE10" s="30">
        <v>-15</v>
      </c>
      <c r="AF10" s="25">
        <v>3</v>
      </c>
      <c r="AG10" s="724">
        <v>210</v>
      </c>
      <c r="AH10" s="25">
        <v>-37.340000000000003</v>
      </c>
      <c r="AI10" s="724">
        <v>110</v>
      </c>
      <c r="AJ10" s="25">
        <v>-61.69</v>
      </c>
      <c r="AK10" s="724">
        <v>-28</v>
      </c>
      <c r="AL10" s="835"/>
      <c r="AM10" s="804"/>
      <c r="AN10" s="258">
        <v>-503</v>
      </c>
      <c r="AO10" s="825">
        <v>-404</v>
      </c>
      <c r="AP10" s="829">
        <v>-38.5</v>
      </c>
      <c r="AQ10" s="356">
        <v>69.27</v>
      </c>
      <c r="AR10" s="196">
        <v>-24</v>
      </c>
      <c r="AS10" s="810">
        <v>-3</v>
      </c>
      <c r="AT10" s="25">
        <v>421.03</v>
      </c>
      <c r="AU10" s="724">
        <v>468</v>
      </c>
      <c r="AV10" s="13">
        <f t="shared" si="0"/>
        <v>-712.6400000000001</v>
      </c>
      <c r="AW10" s="318">
        <f t="shared" si="1"/>
        <v>1200.51</v>
      </c>
      <c r="AX10" s="25"/>
      <c r="AY10" s="24"/>
      <c r="AZ10" s="13">
        <f t="shared" si="2"/>
        <v>-712.6400000000001</v>
      </c>
      <c r="BA10" s="796">
        <f t="shared" si="3"/>
        <v>1200.51</v>
      </c>
    </row>
    <row r="11" spans="1:53" x14ac:dyDescent="0.3">
      <c r="A11" s="707" t="s">
        <v>126</v>
      </c>
      <c r="B11" s="317"/>
      <c r="C11" s="317"/>
      <c r="D11" s="17"/>
      <c r="E11" s="804"/>
      <c r="F11" s="17"/>
      <c r="G11" s="19"/>
      <c r="H11" s="17"/>
      <c r="I11" s="804">
        <v>295</v>
      </c>
      <c r="J11" s="17"/>
      <c r="K11" s="804"/>
      <c r="L11" s="17"/>
      <c r="M11" s="804"/>
      <c r="N11" s="17"/>
      <c r="O11" s="804"/>
      <c r="P11" s="17">
        <v>1.2</v>
      </c>
      <c r="Q11" s="804"/>
      <c r="R11" s="17"/>
      <c r="S11" s="804"/>
      <c r="T11" s="17"/>
      <c r="U11" s="804"/>
      <c r="V11" s="17"/>
      <c r="W11" s="804"/>
      <c r="X11" s="17">
        <v>253.18</v>
      </c>
      <c r="Y11" s="804">
        <v>300</v>
      </c>
      <c r="Z11" s="17">
        <f>0.21+109.37</f>
        <v>109.58</v>
      </c>
      <c r="AA11" s="804">
        <v>2</v>
      </c>
      <c r="AB11" s="17">
        <v>190.43</v>
      </c>
      <c r="AC11" s="804">
        <v>232.94</v>
      </c>
      <c r="AD11" s="17"/>
      <c r="AE11" s="19"/>
      <c r="AF11" s="17">
        <v>62.8</v>
      </c>
      <c r="AG11" s="804">
        <v>409</v>
      </c>
      <c r="AH11" s="17"/>
      <c r="AI11" s="804"/>
      <c r="AJ11" s="17"/>
      <c r="AK11" s="804"/>
      <c r="AL11" s="835"/>
      <c r="AM11" s="804"/>
      <c r="AN11" s="258">
        <v>301.55</v>
      </c>
      <c r="AO11" s="825">
        <v>38</v>
      </c>
      <c r="AP11" s="829"/>
      <c r="AQ11" s="356">
        <v>54.25</v>
      </c>
      <c r="AR11" s="196">
        <v>-0.36</v>
      </c>
      <c r="AS11" s="810"/>
      <c r="AT11" s="17"/>
      <c r="AU11" s="804"/>
      <c r="AV11" s="13">
        <f t="shared" si="0"/>
        <v>918.38</v>
      </c>
      <c r="AW11" s="318">
        <f t="shared" si="1"/>
        <v>1331.19</v>
      </c>
      <c r="AX11" s="196"/>
      <c r="AY11" s="21"/>
      <c r="AZ11" s="13">
        <f t="shared" si="2"/>
        <v>918.38</v>
      </c>
      <c r="BA11" s="796">
        <f t="shared" si="3"/>
        <v>1331.19</v>
      </c>
    </row>
    <row r="12" spans="1:53" s="1225" customFormat="1" ht="13.5" x14ac:dyDescent="0.25">
      <c r="A12" s="1210" t="s">
        <v>411</v>
      </c>
      <c r="B12" s="799">
        <f>SUM(B5:B11)</f>
        <v>14265.44</v>
      </c>
      <c r="C12" s="799">
        <f>SUM(C5:C11)</f>
        <v>10146</v>
      </c>
      <c r="D12" s="759">
        <f t="shared" ref="D12:AI12" si="4">SUM(D5:D11)</f>
        <v>149.07</v>
      </c>
      <c r="E12" s="805">
        <f t="shared" si="4"/>
        <v>113</v>
      </c>
      <c r="F12" s="759">
        <f t="shared" si="4"/>
        <v>1209.8499999999999</v>
      </c>
      <c r="G12" s="761">
        <f t="shared" si="4"/>
        <v>865</v>
      </c>
      <c r="H12" s="759">
        <f t="shared" si="4"/>
        <v>29076.880000000005</v>
      </c>
      <c r="I12" s="805">
        <f t="shared" si="4"/>
        <v>40210</v>
      </c>
      <c r="J12" s="759">
        <f t="shared" si="4"/>
        <v>-8202.8799999999992</v>
      </c>
      <c r="K12" s="805">
        <f t="shared" si="4"/>
        <v>-10767</v>
      </c>
      <c r="L12" s="759">
        <f t="shared" si="4"/>
        <v>2166.0500000000002</v>
      </c>
      <c r="M12" s="805">
        <f t="shared" si="4"/>
        <v>2107</v>
      </c>
      <c r="N12" s="759">
        <f t="shared" si="4"/>
        <v>1793</v>
      </c>
      <c r="O12" s="805">
        <f t="shared" si="4"/>
        <v>4313</v>
      </c>
      <c r="P12" s="759">
        <f t="shared" si="4"/>
        <v>-35.309999999999988</v>
      </c>
      <c r="Q12" s="805">
        <f t="shared" si="4"/>
        <v>1097</v>
      </c>
      <c r="R12" s="759">
        <f t="shared" si="4"/>
        <v>2461</v>
      </c>
      <c r="S12" s="805">
        <f t="shared" si="4"/>
        <v>1958</v>
      </c>
      <c r="T12" s="759">
        <f t="shared" si="4"/>
        <v>504</v>
      </c>
      <c r="U12" s="805">
        <f t="shared" si="4"/>
        <v>350</v>
      </c>
      <c r="V12" s="759">
        <f t="shared" si="4"/>
        <v>38422.949999999997</v>
      </c>
      <c r="W12" s="805">
        <f t="shared" si="4"/>
        <v>36218</v>
      </c>
      <c r="X12" s="759">
        <f t="shared" si="4"/>
        <v>69094.81</v>
      </c>
      <c r="Y12" s="805">
        <f t="shared" si="4"/>
        <v>47477</v>
      </c>
      <c r="Z12" s="759">
        <f t="shared" si="4"/>
        <v>1379.74</v>
      </c>
      <c r="AA12" s="805">
        <f t="shared" si="4"/>
        <v>1343</v>
      </c>
      <c r="AB12" s="759">
        <f t="shared" si="4"/>
        <v>1495.66</v>
      </c>
      <c r="AC12" s="805">
        <f t="shared" si="4"/>
        <v>2557.1799999999998</v>
      </c>
      <c r="AD12" s="759">
        <f t="shared" si="4"/>
        <v>6715.74</v>
      </c>
      <c r="AE12" s="761">
        <f t="shared" si="4"/>
        <v>27266</v>
      </c>
      <c r="AF12" s="759">
        <f t="shared" si="4"/>
        <v>16580.62</v>
      </c>
      <c r="AG12" s="805">
        <f t="shared" si="4"/>
        <v>13068</v>
      </c>
      <c r="AH12" s="759">
        <f t="shared" si="4"/>
        <v>3431.6</v>
      </c>
      <c r="AI12" s="805">
        <f t="shared" si="4"/>
        <v>6639</v>
      </c>
      <c r="AJ12" s="759">
        <f t="shared" ref="AJ12:AY12" si="5">SUM(AJ5:AJ11)</f>
        <v>3266.7900000000004</v>
      </c>
      <c r="AK12" s="805">
        <f t="shared" si="5"/>
        <v>2853</v>
      </c>
      <c r="AL12" s="759">
        <f t="shared" si="5"/>
        <v>0</v>
      </c>
      <c r="AM12" s="805">
        <f t="shared" si="5"/>
        <v>0</v>
      </c>
      <c r="AN12" s="759">
        <f t="shared" si="5"/>
        <v>24349.98</v>
      </c>
      <c r="AO12" s="805">
        <f t="shared" si="5"/>
        <v>27651</v>
      </c>
      <c r="AP12" s="759">
        <f t="shared" si="5"/>
        <v>2902.95</v>
      </c>
      <c r="AQ12" s="805">
        <f t="shared" si="5"/>
        <v>1697.05</v>
      </c>
      <c r="AR12" s="759">
        <f t="shared" si="5"/>
        <v>1072.0700000000002</v>
      </c>
      <c r="AS12" s="805">
        <f t="shared" si="5"/>
        <v>1260</v>
      </c>
      <c r="AT12" s="759">
        <f t="shared" si="5"/>
        <v>3913.9399999999996</v>
      </c>
      <c r="AU12" s="805">
        <f t="shared" si="5"/>
        <v>3948</v>
      </c>
      <c r="AV12" s="759">
        <f t="shared" si="0"/>
        <v>216013.95000000004</v>
      </c>
      <c r="AW12" s="799">
        <f t="shared" si="1"/>
        <v>222369.22999999998</v>
      </c>
      <c r="AX12" s="759">
        <f t="shared" si="5"/>
        <v>464.84</v>
      </c>
      <c r="AY12" s="760">
        <f t="shared" si="5"/>
        <v>153391</v>
      </c>
      <c r="AZ12" s="759">
        <f t="shared" si="2"/>
        <v>216478.79000000004</v>
      </c>
      <c r="BA12" s="762">
        <f t="shared" si="3"/>
        <v>375760.23</v>
      </c>
    </row>
    <row r="13" spans="1:53" ht="28.5" x14ac:dyDescent="0.3">
      <c r="A13" s="707" t="s">
        <v>127</v>
      </c>
      <c r="B13" s="317">
        <v>820</v>
      </c>
      <c r="C13" s="317">
        <f>1083</f>
        <v>1083</v>
      </c>
      <c r="D13" s="17">
        <v>171.96</v>
      </c>
      <c r="E13" s="804">
        <v>492</v>
      </c>
      <c r="F13" s="17">
        <f>71.25+148.83</f>
        <v>220.08</v>
      </c>
      <c r="G13" s="19">
        <f>100</f>
        <v>100</v>
      </c>
      <c r="H13" s="17">
        <v>845.45</v>
      </c>
      <c r="I13" s="804">
        <v>611</v>
      </c>
      <c r="J13" s="17">
        <v>184.9</v>
      </c>
      <c r="K13" s="804">
        <v>82</v>
      </c>
      <c r="L13" s="17">
        <v>127.12</v>
      </c>
      <c r="M13" s="804">
        <v>83</v>
      </c>
      <c r="N13" s="17">
        <v>413</v>
      </c>
      <c r="O13" s="804">
        <v>522</v>
      </c>
      <c r="P13" s="17">
        <v>22.07</v>
      </c>
      <c r="Q13" s="804">
        <v>11</v>
      </c>
      <c r="R13" s="17">
        <f>15.1+114.78</f>
        <v>129.88</v>
      </c>
      <c r="S13" s="804">
        <f>554+26</f>
        <v>580</v>
      </c>
      <c r="T13" s="17">
        <f>242.68+180.3</f>
        <v>422.98</v>
      </c>
      <c r="U13" s="804">
        <v>52</v>
      </c>
      <c r="V13" s="17">
        <v>223</v>
      </c>
      <c r="W13" s="804">
        <v>658</v>
      </c>
      <c r="X13" s="17">
        <f>418.03+195.13</f>
        <v>613.16</v>
      </c>
      <c r="Y13" s="804">
        <v>399</v>
      </c>
      <c r="Z13" s="17">
        <v>57</v>
      </c>
      <c r="AA13" s="804">
        <v>114</v>
      </c>
      <c r="AB13" s="17">
        <v>188</v>
      </c>
      <c r="AC13" s="804">
        <v>135</v>
      </c>
      <c r="AD13" s="17">
        <v>73</v>
      </c>
      <c r="AE13" s="19">
        <v>70</v>
      </c>
      <c r="AF13" s="17">
        <v>2310</v>
      </c>
      <c r="AG13" s="804">
        <v>539</v>
      </c>
      <c r="AH13" s="17">
        <v>94</v>
      </c>
      <c r="AI13" s="804">
        <v>645</v>
      </c>
      <c r="AJ13" s="17">
        <v>406</v>
      </c>
      <c r="AK13" s="804">
        <v>90</v>
      </c>
      <c r="AL13" s="835"/>
      <c r="AM13" s="804"/>
      <c r="AN13" s="257"/>
      <c r="AO13" s="824"/>
      <c r="AP13" s="829">
        <v>105</v>
      </c>
      <c r="AQ13" s="356">
        <v>21.53</v>
      </c>
      <c r="AR13" s="196">
        <f>72.98+112.77</f>
        <v>185.75</v>
      </c>
      <c r="AS13" s="810">
        <v>250</v>
      </c>
      <c r="AT13" s="17">
        <f>40.77+64.44</f>
        <v>105.21000000000001</v>
      </c>
      <c r="AU13" s="804">
        <v>143</v>
      </c>
      <c r="AV13" s="13">
        <f t="shared" si="0"/>
        <v>7717.56</v>
      </c>
      <c r="AW13" s="318">
        <f t="shared" si="1"/>
        <v>6680.53</v>
      </c>
      <c r="AX13" s="196">
        <v>12.49</v>
      </c>
      <c r="AY13" s="21">
        <v>10.28</v>
      </c>
      <c r="AZ13" s="13">
        <f t="shared" si="2"/>
        <v>7730.05</v>
      </c>
      <c r="BA13" s="796">
        <f t="shared" si="3"/>
        <v>6690.8099999999995</v>
      </c>
    </row>
    <row r="14" spans="1:53" x14ac:dyDescent="0.3">
      <c r="A14" s="707" t="s">
        <v>128</v>
      </c>
      <c r="B14" s="317"/>
      <c r="C14" s="317"/>
      <c r="D14" s="17"/>
      <c r="E14" s="804"/>
      <c r="F14" s="17"/>
      <c r="G14" s="262"/>
      <c r="H14" s="17"/>
      <c r="I14" s="804"/>
      <c r="J14" s="17"/>
      <c r="K14" s="804"/>
      <c r="L14" s="17"/>
      <c r="M14" s="804"/>
      <c r="N14" s="17"/>
      <c r="O14" s="804"/>
      <c r="P14" s="17"/>
      <c r="Q14" s="804"/>
      <c r="R14" s="17"/>
      <c r="S14" s="804"/>
      <c r="T14" s="17"/>
      <c r="U14" s="804"/>
      <c r="V14" s="17"/>
      <c r="W14" s="804"/>
      <c r="X14" s="17"/>
      <c r="Y14" s="804"/>
      <c r="Z14" s="17"/>
      <c r="AA14" s="804"/>
      <c r="AB14" s="17"/>
      <c r="AC14" s="804"/>
      <c r="AD14" s="17"/>
      <c r="AE14" s="19"/>
      <c r="AF14" s="17"/>
      <c r="AG14" s="804"/>
      <c r="AH14" s="17"/>
      <c r="AI14" s="804"/>
      <c r="AJ14" s="17"/>
      <c r="AK14" s="804"/>
      <c r="AL14" s="835"/>
      <c r="AM14" s="804"/>
      <c r="AN14" s="259"/>
      <c r="AO14" s="826"/>
      <c r="AP14" s="829"/>
      <c r="AQ14" s="356"/>
      <c r="AR14" s="196"/>
      <c r="AS14" s="810"/>
      <c r="AT14" s="17"/>
      <c r="AU14" s="804"/>
      <c r="AV14" s="13">
        <f t="shared" si="0"/>
        <v>0</v>
      </c>
      <c r="AW14" s="318">
        <f t="shared" si="1"/>
        <v>0</v>
      </c>
      <c r="AX14" s="196"/>
      <c r="AY14" s="21"/>
      <c r="AZ14" s="13">
        <f t="shared" si="2"/>
        <v>0</v>
      </c>
      <c r="BA14" s="796">
        <f t="shared" si="3"/>
        <v>0</v>
      </c>
    </row>
    <row r="15" spans="1:53" x14ac:dyDescent="0.3">
      <c r="A15" s="707" t="s">
        <v>129</v>
      </c>
      <c r="B15" s="318"/>
      <c r="C15" s="318"/>
      <c r="D15" s="25"/>
      <c r="E15" s="724"/>
      <c r="F15" s="25"/>
      <c r="G15" s="28"/>
      <c r="H15" s="25"/>
      <c r="I15" s="724"/>
      <c r="J15" s="25"/>
      <c r="K15" s="724"/>
      <c r="L15" s="25"/>
      <c r="M15" s="724"/>
      <c r="N15" s="25"/>
      <c r="O15" s="724"/>
      <c r="P15" s="25"/>
      <c r="Q15" s="724"/>
      <c r="R15" s="25"/>
      <c r="S15" s="724"/>
      <c r="T15" s="25"/>
      <c r="U15" s="724"/>
      <c r="V15" s="25"/>
      <c r="W15" s="724"/>
      <c r="X15" s="25"/>
      <c r="Y15" s="724"/>
      <c r="Z15" s="47"/>
      <c r="AA15" s="842"/>
      <c r="AB15" s="25"/>
      <c r="AC15" s="724"/>
      <c r="AD15" s="840"/>
      <c r="AE15" s="30"/>
      <c r="AF15" s="25"/>
      <c r="AG15" s="724"/>
      <c r="AH15" s="25"/>
      <c r="AI15" s="724"/>
      <c r="AJ15" s="25"/>
      <c r="AK15" s="724"/>
      <c r="AL15" s="835"/>
      <c r="AM15" s="804"/>
      <c r="AN15" s="258">
        <v>14.75</v>
      </c>
      <c r="AO15" s="825">
        <v>23</v>
      </c>
      <c r="AP15" s="829"/>
      <c r="AQ15" s="356"/>
      <c r="AR15" s="196"/>
      <c r="AS15" s="810"/>
      <c r="AT15" s="25"/>
      <c r="AU15" s="724"/>
      <c r="AV15" s="13">
        <f t="shared" si="0"/>
        <v>14.75</v>
      </c>
      <c r="AW15" s="318">
        <f t="shared" si="1"/>
        <v>23</v>
      </c>
      <c r="AX15" s="25"/>
      <c r="AY15" s="24"/>
      <c r="AZ15" s="13">
        <f t="shared" si="2"/>
        <v>14.75</v>
      </c>
      <c r="BA15" s="796">
        <f t="shared" si="3"/>
        <v>23</v>
      </c>
    </row>
    <row r="16" spans="1:53" x14ac:dyDescent="0.3">
      <c r="A16" s="707" t="s">
        <v>130</v>
      </c>
      <c r="B16" s="317"/>
      <c r="C16" s="317"/>
      <c r="D16" s="17"/>
      <c r="E16" s="804"/>
      <c r="F16" s="17"/>
      <c r="G16" s="19"/>
      <c r="H16" s="17"/>
      <c r="I16" s="804"/>
      <c r="J16" s="17"/>
      <c r="K16" s="804"/>
      <c r="L16" s="17"/>
      <c r="M16" s="804"/>
      <c r="N16" s="17"/>
      <c r="O16" s="804"/>
      <c r="P16" s="17"/>
      <c r="Q16" s="804"/>
      <c r="R16" s="17"/>
      <c r="S16" s="804"/>
      <c r="T16" s="17"/>
      <c r="U16" s="804"/>
      <c r="V16" s="17"/>
      <c r="W16" s="804"/>
      <c r="X16" s="17"/>
      <c r="Y16" s="804"/>
      <c r="Z16" s="47"/>
      <c r="AA16" s="842"/>
      <c r="AB16" s="17"/>
      <c r="AC16" s="804"/>
      <c r="AD16" s="17"/>
      <c r="AE16" s="19"/>
      <c r="AF16" s="17"/>
      <c r="AG16" s="804"/>
      <c r="AH16" s="17"/>
      <c r="AI16" s="804"/>
      <c r="AJ16" s="17"/>
      <c r="AK16" s="804"/>
      <c r="AL16" s="835"/>
      <c r="AM16" s="804"/>
      <c r="AN16" s="258"/>
      <c r="AO16" s="825"/>
      <c r="AP16" s="829"/>
      <c r="AQ16" s="356"/>
      <c r="AR16" s="196"/>
      <c r="AS16" s="810"/>
      <c r="AT16" s="17"/>
      <c r="AU16" s="804"/>
      <c r="AV16" s="13">
        <f t="shared" si="0"/>
        <v>0</v>
      </c>
      <c r="AW16" s="318">
        <f t="shared" si="1"/>
        <v>0</v>
      </c>
      <c r="AX16" s="17"/>
      <c r="AY16" s="16"/>
      <c r="AZ16" s="13">
        <f t="shared" si="2"/>
        <v>0</v>
      </c>
      <c r="BA16" s="796">
        <f t="shared" si="3"/>
        <v>0</v>
      </c>
    </row>
    <row r="17" spans="1:53" x14ac:dyDescent="0.3">
      <c r="A17" s="707" t="s">
        <v>131</v>
      </c>
      <c r="B17" s="317"/>
      <c r="C17" s="317"/>
      <c r="D17" s="17"/>
      <c r="E17" s="804"/>
      <c r="F17" s="17"/>
      <c r="G17" s="19"/>
      <c r="H17" s="17"/>
      <c r="I17" s="804"/>
      <c r="J17" s="17"/>
      <c r="K17" s="804"/>
      <c r="L17" s="17">
        <v>115.17</v>
      </c>
      <c r="M17" s="804"/>
      <c r="N17" s="17"/>
      <c r="O17" s="804"/>
      <c r="P17" s="17"/>
      <c r="Q17" s="804"/>
      <c r="R17" s="17"/>
      <c r="S17" s="804"/>
      <c r="T17" s="17"/>
      <c r="U17" s="804"/>
      <c r="V17" s="17"/>
      <c r="W17" s="804"/>
      <c r="X17" s="17"/>
      <c r="Y17" s="804"/>
      <c r="Z17" s="47"/>
      <c r="AA17" s="842"/>
      <c r="AB17" s="17"/>
      <c r="AC17" s="804"/>
      <c r="AD17" s="17"/>
      <c r="AE17" s="19"/>
      <c r="AF17" s="17"/>
      <c r="AG17" s="804"/>
      <c r="AH17" s="17"/>
      <c r="AI17" s="804"/>
      <c r="AJ17" s="17"/>
      <c r="AK17" s="804"/>
      <c r="AL17" s="835"/>
      <c r="AM17" s="804"/>
      <c r="AN17" s="258">
        <v>5.19</v>
      </c>
      <c r="AO17" s="825"/>
      <c r="AP17" s="829"/>
      <c r="AQ17" s="356"/>
      <c r="AR17" s="196"/>
      <c r="AS17" s="810"/>
      <c r="AT17" s="17"/>
      <c r="AU17" s="804"/>
      <c r="AV17" s="13">
        <f t="shared" si="0"/>
        <v>120.36</v>
      </c>
      <c r="AW17" s="318">
        <f t="shared" si="1"/>
        <v>0</v>
      </c>
      <c r="AX17" s="17"/>
      <c r="AY17" s="16"/>
      <c r="AZ17" s="13">
        <f t="shared" si="2"/>
        <v>120.36</v>
      </c>
      <c r="BA17" s="796">
        <f t="shared" si="3"/>
        <v>0</v>
      </c>
    </row>
    <row r="18" spans="1:53" x14ac:dyDescent="0.3">
      <c r="A18" s="707" t="s">
        <v>132</v>
      </c>
      <c r="B18" s="317">
        <f>89.4+273</f>
        <v>362.4</v>
      </c>
      <c r="C18" s="317">
        <f>930+138</f>
        <v>1068</v>
      </c>
      <c r="D18" s="17"/>
      <c r="E18" s="804">
        <v>153</v>
      </c>
      <c r="F18" s="17"/>
      <c r="G18" s="19">
        <v>88</v>
      </c>
      <c r="H18" s="17">
        <v>279.24</v>
      </c>
      <c r="I18" s="804">
        <f>443+242</f>
        <v>685</v>
      </c>
      <c r="J18" s="17">
        <v>36.61</v>
      </c>
      <c r="K18" s="804">
        <f>134+47+106</f>
        <v>287</v>
      </c>
      <c r="L18" s="17"/>
      <c r="M18" s="804">
        <f>169</f>
        <v>169</v>
      </c>
      <c r="N18" s="17"/>
      <c r="O18" s="804"/>
      <c r="P18" s="17"/>
      <c r="Q18" s="804"/>
      <c r="R18" s="17"/>
      <c r="S18" s="804"/>
      <c r="T18" s="17"/>
      <c r="U18" s="804">
        <v>161</v>
      </c>
      <c r="V18" s="17">
        <f>998+224</f>
        <v>1222</v>
      </c>
      <c r="W18" s="804">
        <f>1061+76</f>
        <v>1137</v>
      </c>
      <c r="X18" s="17">
        <v>2049.37</v>
      </c>
      <c r="Y18" s="804">
        <f>132+2049</f>
        <v>2181</v>
      </c>
      <c r="Z18" s="47">
        <v>144</v>
      </c>
      <c r="AA18" s="842">
        <v>169</v>
      </c>
      <c r="AB18" s="17">
        <v>213</v>
      </c>
      <c r="AC18" s="804">
        <v>475</v>
      </c>
      <c r="AD18" s="17">
        <v>11</v>
      </c>
      <c r="AE18" s="19">
        <v>83</v>
      </c>
      <c r="AF18" s="17"/>
      <c r="AG18" s="804">
        <v>927</v>
      </c>
      <c r="AH18" s="17"/>
      <c r="AI18" s="804">
        <v>810</v>
      </c>
      <c r="AJ18" s="17"/>
      <c r="AK18" s="804"/>
      <c r="AL18" s="835"/>
      <c r="AM18" s="804"/>
      <c r="AN18" s="258">
        <v>370.03</v>
      </c>
      <c r="AO18" s="825">
        <v>238</v>
      </c>
      <c r="AP18" s="829"/>
      <c r="AQ18" s="356"/>
      <c r="AR18" s="196"/>
      <c r="AS18" s="810">
        <v>242</v>
      </c>
      <c r="AT18" s="17"/>
      <c r="AU18" s="804">
        <v>864</v>
      </c>
      <c r="AV18" s="13">
        <f t="shared" si="0"/>
        <v>4687.6499999999996</v>
      </c>
      <c r="AW18" s="318">
        <f t="shared" si="1"/>
        <v>9737</v>
      </c>
      <c r="AX18" s="17"/>
      <c r="AY18" s="16"/>
      <c r="AZ18" s="13">
        <f t="shared" si="2"/>
        <v>4687.6499999999996</v>
      </c>
      <c r="BA18" s="796">
        <f t="shared" si="3"/>
        <v>9737</v>
      </c>
    </row>
    <row r="19" spans="1:53" ht="28.5" x14ac:dyDescent="0.3">
      <c r="A19" s="707" t="s">
        <v>133</v>
      </c>
      <c r="B19" s="317">
        <v>60</v>
      </c>
      <c r="C19" s="317"/>
      <c r="D19" s="17"/>
      <c r="E19" s="804">
        <v>-166</v>
      </c>
      <c r="F19" s="17"/>
      <c r="G19" s="19"/>
      <c r="H19" s="17"/>
      <c r="I19" s="804"/>
      <c r="J19" s="17"/>
      <c r="K19" s="804"/>
      <c r="L19" s="17"/>
      <c r="M19" s="804">
        <v>76</v>
      </c>
      <c r="N19" s="17"/>
      <c r="O19" s="804"/>
      <c r="P19" s="17"/>
      <c r="Q19" s="804"/>
      <c r="R19" s="17"/>
      <c r="S19" s="804"/>
      <c r="T19" s="17"/>
      <c r="U19" s="804">
        <v>63</v>
      </c>
      <c r="V19" s="17">
        <v>3</v>
      </c>
      <c r="W19" s="804">
        <v>63</v>
      </c>
      <c r="X19" s="17"/>
      <c r="Y19" s="804">
        <v>3</v>
      </c>
      <c r="Z19" s="47"/>
      <c r="AA19" s="842"/>
      <c r="AB19" s="17"/>
      <c r="AC19" s="804"/>
      <c r="AD19" s="17">
        <v>300</v>
      </c>
      <c r="AE19" s="19">
        <v>276</v>
      </c>
      <c r="AF19" s="17">
        <v>210</v>
      </c>
      <c r="AG19" s="804">
        <v>250</v>
      </c>
      <c r="AH19" s="17">
        <v>3</v>
      </c>
      <c r="AI19" s="804">
        <v>3</v>
      </c>
      <c r="AJ19" s="17"/>
      <c r="AK19" s="804"/>
      <c r="AL19" s="835"/>
      <c r="AM19" s="804"/>
      <c r="AN19" s="258">
        <v>617.85</v>
      </c>
      <c r="AO19" s="825">
        <v>555</v>
      </c>
      <c r="AP19" s="829">
        <v>33.5</v>
      </c>
      <c r="AQ19" s="356">
        <v>42</v>
      </c>
      <c r="AR19" s="196">
        <v>41.11</v>
      </c>
      <c r="AS19" s="810">
        <v>29</v>
      </c>
      <c r="AT19" s="17">
        <v>40.06</v>
      </c>
      <c r="AU19" s="804"/>
      <c r="AV19" s="13">
        <f t="shared" si="0"/>
        <v>1308.5199999999998</v>
      </c>
      <c r="AW19" s="318">
        <f t="shared" si="1"/>
        <v>1194</v>
      </c>
      <c r="AX19" s="17"/>
      <c r="AY19" s="16"/>
      <c r="AZ19" s="13">
        <f t="shared" si="2"/>
        <v>1308.5199999999998</v>
      </c>
      <c r="BA19" s="796">
        <f t="shared" si="3"/>
        <v>1194</v>
      </c>
    </row>
    <row r="20" spans="1:53" x14ac:dyDescent="0.3">
      <c r="A20" s="707" t="s">
        <v>134</v>
      </c>
      <c r="B20" s="318"/>
      <c r="C20" s="318"/>
      <c r="D20" s="25"/>
      <c r="E20" s="724"/>
      <c r="F20" s="25"/>
      <c r="G20" s="28"/>
      <c r="H20" s="25"/>
      <c r="I20" s="724"/>
      <c r="J20" s="25"/>
      <c r="K20" s="724"/>
      <c r="L20" s="25"/>
      <c r="M20" s="724"/>
      <c r="N20" s="25"/>
      <c r="O20" s="724"/>
      <c r="P20" s="25"/>
      <c r="Q20" s="724"/>
      <c r="R20" s="25"/>
      <c r="S20" s="724"/>
      <c r="T20" s="25"/>
      <c r="U20" s="724"/>
      <c r="V20" s="25"/>
      <c r="W20" s="724"/>
      <c r="X20" s="25"/>
      <c r="Y20" s="724"/>
      <c r="Z20" s="47"/>
      <c r="AA20" s="842"/>
      <c r="AB20" s="25"/>
      <c r="AC20" s="724"/>
      <c r="AD20" s="840"/>
      <c r="AE20" s="30"/>
      <c r="AF20" s="25"/>
      <c r="AG20" s="724"/>
      <c r="AH20" s="25"/>
      <c r="AI20" s="724"/>
      <c r="AJ20" s="25"/>
      <c r="AK20" s="724"/>
      <c r="AL20" s="835"/>
      <c r="AM20" s="804"/>
      <c r="AN20" s="259"/>
      <c r="AO20" s="826"/>
      <c r="AP20" s="829"/>
      <c r="AQ20" s="356"/>
      <c r="AR20" s="196"/>
      <c r="AS20" s="810"/>
      <c r="AT20" s="25"/>
      <c r="AU20" s="724">
        <v>171</v>
      </c>
      <c r="AV20" s="13">
        <f t="shared" si="0"/>
        <v>0</v>
      </c>
      <c r="AW20" s="318">
        <f t="shared" si="1"/>
        <v>171</v>
      </c>
      <c r="AX20" s="25"/>
      <c r="AY20" s="24"/>
      <c r="AZ20" s="13">
        <f t="shared" si="2"/>
        <v>0</v>
      </c>
      <c r="BA20" s="796">
        <f t="shared" si="3"/>
        <v>171</v>
      </c>
    </row>
    <row r="21" spans="1:53" ht="28.5" x14ac:dyDescent="0.3">
      <c r="A21" s="707" t="s">
        <v>135</v>
      </c>
      <c r="B21" s="317">
        <v>10197.92</v>
      </c>
      <c r="C21" s="317">
        <v>5083</v>
      </c>
      <c r="D21" s="17">
        <v>2582.04</v>
      </c>
      <c r="E21" s="804">
        <f>2493</f>
        <v>2493</v>
      </c>
      <c r="F21" s="17">
        <v>1360.05</v>
      </c>
      <c r="G21" s="19">
        <v>1181</v>
      </c>
      <c r="H21" s="17">
        <v>19101.77</v>
      </c>
      <c r="I21" s="804">
        <v>24745</v>
      </c>
      <c r="J21" s="17"/>
      <c r="K21" s="804"/>
      <c r="L21" s="17">
        <f>11.3+11042.4+6.74+309.47+37.53</f>
        <v>11407.439999999999</v>
      </c>
      <c r="M21" s="261">
        <f>45+46+4429+22</f>
        <v>4542</v>
      </c>
      <c r="N21" s="274">
        <f>1013+1594</f>
        <v>2607</v>
      </c>
      <c r="O21" s="261">
        <f>1067+13</f>
        <v>1080</v>
      </c>
      <c r="P21" s="17">
        <v>5975.27</v>
      </c>
      <c r="Q21" s="804">
        <v>6939</v>
      </c>
      <c r="R21" s="17">
        <v>10770.64</v>
      </c>
      <c r="S21" s="804">
        <v>5166</v>
      </c>
      <c r="T21" s="17">
        <v>2831.47</v>
      </c>
      <c r="U21" s="804">
        <v>5426</v>
      </c>
      <c r="V21" s="17">
        <v>8051.21</v>
      </c>
      <c r="W21" s="804"/>
      <c r="X21" s="17">
        <v>88759.18</v>
      </c>
      <c r="Y21" s="804">
        <v>29212</v>
      </c>
      <c r="Z21" s="47"/>
      <c r="AA21" s="842"/>
      <c r="AB21" s="17">
        <v>15520</v>
      </c>
      <c r="AC21" s="804">
        <v>6116</v>
      </c>
      <c r="AD21" s="17">
        <v>32931</v>
      </c>
      <c r="AE21" s="19">
        <v>1224</v>
      </c>
      <c r="AF21" s="17">
        <v>6368.41</v>
      </c>
      <c r="AG21" s="804">
        <v>2293</v>
      </c>
      <c r="AH21" s="17">
        <v>17865</v>
      </c>
      <c r="AI21" s="804">
        <v>2972</v>
      </c>
      <c r="AJ21" s="17">
        <v>7850</v>
      </c>
      <c r="AK21" s="804">
        <v>287</v>
      </c>
      <c r="AL21" s="835"/>
      <c r="AM21" s="804"/>
      <c r="AN21" s="259"/>
      <c r="AO21" s="826"/>
      <c r="AP21" s="829">
        <v>46.95</v>
      </c>
      <c r="AQ21" s="356">
        <v>225.75</v>
      </c>
      <c r="AR21" s="196">
        <f>11580</f>
        <v>11580</v>
      </c>
      <c r="AS21" s="810">
        <v>2500</v>
      </c>
      <c r="AT21" s="17">
        <v>14046.55</v>
      </c>
      <c r="AU21" s="804">
        <v>21389</v>
      </c>
      <c r="AV21" s="13">
        <f t="shared" si="0"/>
        <v>269851.90000000002</v>
      </c>
      <c r="AW21" s="318">
        <f t="shared" si="1"/>
        <v>122873.75</v>
      </c>
      <c r="AX21" s="196"/>
      <c r="AY21" s="21">
        <v>82940</v>
      </c>
      <c r="AZ21" s="13">
        <f t="shared" si="2"/>
        <v>269851.90000000002</v>
      </c>
      <c r="BA21" s="796">
        <f t="shared" si="3"/>
        <v>205813.75</v>
      </c>
    </row>
    <row r="22" spans="1:53" x14ac:dyDescent="0.3">
      <c r="A22" s="707" t="s">
        <v>136</v>
      </c>
      <c r="B22" s="317"/>
      <c r="C22" s="317"/>
      <c r="D22" s="17"/>
      <c r="E22" s="804"/>
      <c r="F22" s="17"/>
      <c r="G22" s="19"/>
      <c r="H22" s="17"/>
      <c r="I22" s="804"/>
      <c r="J22" s="17"/>
      <c r="K22" s="804"/>
      <c r="L22" s="17"/>
      <c r="M22" s="804"/>
      <c r="N22" s="17"/>
      <c r="O22" s="804"/>
      <c r="P22" s="17"/>
      <c r="Q22" s="804"/>
      <c r="R22" s="17"/>
      <c r="S22" s="804"/>
      <c r="T22" s="17"/>
      <c r="U22" s="804"/>
      <c r="V22" s="17"/>
      <c r="W22" s="804"/>
      <c r="X22" s="17">
        <v>-790.79</v>
      </c>
      <c r="Y22" s="804"/>
      <c r="Z22" s="47"/>
      <c r="AA22" s="842"/>
      <c r="AB22" s="17"/>
      <c r="AC22" s="804"/>
      <c r="AD22" s="17"/>
      <c r="AE22" s="19"/>
      <c r="AF22" s="17"/>
      <c r="AG22" s="804"/>
      <c r="AH22" s="17"/>
      <c r="AI22" s="804"/>
      <c r="AJ22" s="17"/>
      <c r="AK22" s="804"/>
      <c r="AL22" s="835"/>
      <c r="AM22" s="804"/>
      <c r="AN22" s="257"/>
      <c r="AO22" s="824"/>
      <c r="AP22" s="829"/>
      <c r="AQ22" s="356"/>
      <c r="AR22" s="196"/>
      <c r="AS22" s="810"/>
      <c r="AT22" s="17"/>
      <c r="AU22" s="804"/>
      <c r="AV22" s="13">
        <f t="shared" si="0"/>
        <v>-790.79</v>
      </c>
      <c r="AW22" s="318">
        <f t="shared" si="1"/>
        <v>0</v>
      </c>
      <c r="AX22" s="196"/>
      <c r="AY22" s="21"/>
      <c r="AZ22" s="13">
        <f t="shared" si="2"/>
        <v>-790.79</v>
      </c>
      <c r="BA22" s="796">
        <f t="shared" si="3"/>
        <v>0</v>
      </c>
    </row>
    <row r="23" spans="1:53" ht="28.5" x14ac:dyDescent="0.3">
      <c r="A23" s="707" t="s">
        <v>137</v>
      </c>
      <c r="B23" s="317"/>
      <c r="C23" s="317"/>
      <c r="D23" s="17"/>
      <c r="E23" s="804"/>
      <c r="F23" s="17">
        <v>-6.72</v>
      </c>
      <c r="G23" s="19"/>
      <c r="H23" s="17"/>
      <c r="I23" s="804"/>
      <c r="J23" s="17"/>
      <c r="K23" s="804"/>
      <c r="L23" s="17"/>
      <c r="M23" s="804">
        <v>-1</v>
      </c>
      <c r="N23" s="17"/>
      <c r="O23" s="804"/>
      <c r="P23" s="17">
        <v>-957.87</v>
      </c>
      <c r="Q23" s="804"/>
      <c r="R23" s="17"/>
      <c r="S23" s="804"/>
      <c r="T23" s="17"/>
      <c r="U23" s="804"/>
      <c r="V23" s="17">
        <v>-1749.66</v>
      </c>
      <c r="W23" s="804">
        <v>-2271</v>
      </c>
      <c r="X23" s="17"/>
      <c r="Y23" s="804"/>
      <c r="Z23" s="47">
        <v>-10.97</v>
      </c>
      <c r="AA23" s="842">
        <v>-18</v>
      </c>
      <c r="AB23" s="17"/>
      <c r="AC23" s="804"/>
      <c r="AD23" s="17">
        <v>-28</v>
      </c>
      <c r="AE23" s="19"/>
      <c r="AF23" s="17"/>
      <c r="AG23" s="804"/>
      <c r="AH23" s="17"/>
      <c r="AI23" s="804"/>
      <c r="AJ23" s="17"/>
      <c r="AK23" s="804"/>
      <c r="AL23" s="835"/>
      <c r="AM23" s="804"/>
      <c r="AN23" s="258"/>
      <c r="AO23" s="825">
        <v>92</v>
      </c>
      <c r="AP23" s="829"/>
      <c r="AQ23" s="356"/>
      <c r="AR23" s="196"/>
      <c r="AS23" s="810"/>
      <c r="AT23" s="17"/>
      <c r="AU23" s="804"/>
      <c r="AV23" s="13">
        <f t="shared" si="0"/>
        <v>-2753.22</v>
      </c>
      <c r="AW23" s="318">
        <f t="shared" si="1"/>
        <v>-2198</v>
      </c>
      <c r="AX23" s="196"/>
      <c r="AY23" s="21"/>
      <c r="AZ23" s="13">
        <f t="shared" si="2"/>
        <v>-2753.22</v>
      </c>
      <c r="BA23" s="796">
        <f t="shared" si="3"/>
        <v>-2198</v>
      </c>
    </row>
    <row r="24" spans="1:53" x14ac:dyDescent="0.3">
      <c r="A24" s="707" t="s">
        <v>138</v>
      </c>
      <c r="B24" s="317"/>
      <c r="C24" s="317"/>
      <c r="D24" s="17"/>
      <c r="E24" s="804"/>
      <c r="F24" s="17"/>
      <c r="G24" s="19"/>
      <c r="H24" s="17"/>
      <c r="I24" s="804"/>
      <c r="J24" s="17"/>
      <c r="K24" s="804"/>
      <c r="L24" s="17"/>
      <c r="M24" s="804"/>
      <c r="N24" s="17"/>
      <c r="O24" s="804"/>
      <c r="P24" s="17"/>
      <c r="Q24" s="804"/>
      <c r="R24" s="17"/>
      <c r="S24" s="804"/>
      <c r="T24" s="17"/>
      <c r="U24" s="804"/>
      <c r="V24" s="17"/>
      <c r="W24" s="804"/>
      <c r="X24" s="17"/>
      <c r="Y24" s="804"/>
      <c r="Z24" s="47"/>
      <c r="AA24" s="842"/>
      <c r="AB24" s="17">
        <v>8.92</v>
      </c>
      <c r="AC24" s="804">
        <v>13.74</v>
      </c>
      <c r="AD24" s="17"/>
      <c r="AE24" s="19"/>
      <c r="AF24" s="17"/>
      <c r="AG24" s="804"/>
      <c r="AH24" s="17"/>
      <c r="AI24" s="804"/>
      <c r="AJ24" s="17"/>
      <c r="AK24" s="804"/>
      <c r="AL24" s="835"/>
      <c r="AM24" s="804"/>
      <c r="AN24" s="259"/>
      <c r="AO24" s="826"/>
      <c r="AP24" s="829"/>
      <c r="AQ24" s="356"/>
      <c r="AR24" s="196"/>
      <c r="AS24" s="810"/>
      <c r="AT24" s="17">
        <v>36</v>
      </c>
      <c r="AU24" s="804">
        <v>-98</v>
      </c>
      <c r="AV24" s="13">
        <f t="shared" si="0"/>
        <v>44.92</v>
      </c>
      <c r="AW24" s="318">
        <f t="shared" si="1"/>
        <v>-84.26</v>
      </c>
      <c r="AX24" s="196"/>
      <c r="AY24" s="21"/>
      <c r="AZ24" s="13">
        <f t="shared" si="2"/>
        <v>44.92</v>
      </c>
      <c r="BA24" s="796">
        <f t="shared" si="3"/>
        <v>-84.26</v>
      </c>
    </row>
    <row r="25" spans="1:53" x14ac:dyDescent="0.3">
      <c r="A25" s="707" t="s">
        <v>185</v>
      </c>
      <c r="B25" s="317"/>
      <c r="C25" s="317"/>
      <c r="D25" s="17"/>
      <c r="E25" s="804"/>
      <c r="F25" s="17"/>
      <c r="G25" s="19"/>
      <c r="H25" s="17"/>
      <c r="I25" s="804"/>
      <c r="J25" s="17"/>
      <c r="K25" s="804"/>
      <c r="L25" s="17"/>
      <c r="M25" s="804"/>
      <c r="N25" s="17"/>
      <c r="O25" s="804"/>
      <c r="P25" s="17"/>
      <c r="Q25" s="804"/>
      <c r="R25" s="17"/>
      <c r="S25" s="804"/>
      <c r="T25" s="17"/>
      <c r="U25" s="804"/>
      <c r="V25" s="17"/>
      <c r="W25" s="804"/>
      <c r="X25" s="17"/>
      <c r="Y25" s="804"/>
      <c r="Z25" s="47"/>
      <c r="AA25" s="842"/>
      <c r="AB25" s="17"/>
      <c r="AC25" s="804"/>
      <c r="AD25" s="17"/>
      <c r="AE25" s="19"/>
      <c r="AF25" s="17"/>
      <c r="AG25" s="804"/>
      <c r="AH25" s="17"/>
      <c r="AI25" s="804"/>
      <c r="AJ25" s="17"/>
      <c r="AK25" s="804"/>
      <c r="AL25" s="835"/>
      <c r="AM25" s="804"/>
      <c r="AN25" s="259"/>
      <c r="AO25" s="826"/>
      <c r="AP25" s="302"/>
      <c r="AQ25" s="356"/>
      <c r="AR25" s="196"/>
      <c r="AS25" s="810"/>
      <c r="AT25" s="17"/>
      <c r="AU25" s="804"/>
      <c r="AV25" s="13"/>
      <c r="AW25" s="318"/>
      <c r="AX25" s="196"/>
      <c r="AY25" s="21"/>
      <c r="AZ25" s="13"/>
      <c r="BA25" s="796"/>
    </row>
    <row r="26" spans="1:53" s="763" customFormat="1" x14ac:dyDescent="0.3">
      <c r="A26" s="758" t="s">
        <v>268</v>
      </c>
      <c r="B26" s="799">
        <f t="shared" ref="B26:AE26" si="6">SUM(B13:B24)</f>
        <v>11440.32</v>
      </c>
      <c r="C26" s="799">
        <f t="shared" si="6"/>
        <v>7234</v>
      </c>
      <c r="D26" s="759">
        <f t="shared" si="6"/>
        <v>2754</v>
      </c>
      <c r="E26" s="805">
        <f t="shared" si="6"/>
        <v>2972</v>
      </c>
      <c r="F26" s="759">
        <f t="shared" si="6"/>
        <v>1573.4099999999999</v>
      </c>
      <c r="G26" s="761">
        <f t="shared" si="6"/>
        <v>1369</v>
      </c>
      <c r="H26" s="759">
        <f t="shared" si="6"/>
        <v>20226.46</v>
      </c>
      <c r="I26" s="805">
        <f t="shared" si="6"/>
        <v>26041</v>
      </c>
      <c r="J26" s="759">
        <f t="shared" si="6"/>
        <v>221.51</v>
      </c>
      <c r="K26" s="805">
        <f t="shared" si="6"/>
        <v>369</v>
      </c>
      <c r="L26" s="759">
        <f t="shared" si="6"/>
        <v>11649.73</v>
      </c>
      <c r="M26" s="805">
        <f t="shared" si="6"/>
        <v>4869</v>
      </c>
      <c r="N26" s="759">
        <f t="shared" si="6"/>
        <v>3020</v>
      </c>
      <c r="O26" s="805">
        <f t="shared" si="6"/>
        <v>1602</v>
      </c>
      <c r="P26" s="759">
        <f t="shared" si="6"/>
        <v>5039.47</v>
      </c>
      <c r="Q26" s="805">
        <f t="shared" si="6"/>
        <v>6950</v>
      </c>
      <c r="R26" s="759">
        <f t="shared" si="6"/>
        <v>10900.519999999999</v>
      </c>
      <c r="S26" s="805">
        <f t="shared" si="6"/>
        <v>5746</v>
      </c>
      <c r="T26" s="759">
        <f t="shared" si="6"/>
        <v>3254.45</v>
      </c>
      <c r="U26" s="805">
        <f t="shared" si="6"/>
        <v>5702</v>
      </c>
      <c r="V26" s="759">
        <f t="shared" si="6"/>
        <v>7749.5499999999993</v>
      </c>
      <c r="W26" s="805">
        <f t="shared" si="6"/>
        <v>-413</v>
      </c>
      <c r="X26" s="759">
        <f t="shared" si="6"/>
        <v>90630.92</v>
      </c>
      <c r="Y26" s="805">
        <f t="shared" si="6"/>
        <v>31795</v>
      </c>
      <c r="Z26" s="759">
        <f t="shared" si="6"/>
        <v>190.03</v>
      </c>
      <c r="AA26" s="805">
        <f t="shared" si="6"/>
        <v>265</v>
      </c>
      <c r="AB26" s="759">
        <f t="shared" si="6"/>
        <v>15929.92</v>
      </c>
      <c r="AC26" s="805">
        <f t="shared" si="6"/>
        <v>6739.74</v>
      </c>
      <c r="AD26" s="759">
        <f t="shared" si="6"/>
        <v>33287</v>
      </c>
      <c r="AE26" s="761">
        <f t="shared" si="6"/>
        <v>1653</v>
      </c>
      <c r="AF26" s="759">
        <f>SUM(AF13:AF25)</f>
        <v>8888.41</v>
      </c>
      <c r="AG26" s="839">
        <f>SUM(AG13:AG25)</f>
        <v>4009</v>
      </c>
      <c r="AH26" s="759">
        <f t="shared" ref="AH26:AU26" si="7">SUM(AH13:AH24)</f>
        <v>17962</v>
      </c>
      <c r="AI26" s="805">
        <f t="shared" si="7"/>
        <v>4430</v>
      </c>
      <c r="AJ26" s="759">
        <f t="shared" si="7"/>
        <v>8256</v>
      </c>
      <c r="AK26" s="805">
        <f t="shared" si="7"/>
        <v>377</v>
      </c>
      <c r="AL26" s="759">
        <f t="shared" si="7"/>
        <v>0</v>
      </c>
      <c r="AM26" s="805">
        <f t="shared" si="7"/>
        <v>0</v>
      </c>
      <c r="AN26" s="759">
        <f t="shared" si="7"/>
        <v>1007.8199999999999</v>
      </c>
      <c r="AO26" s="805">
        <f t="shared" si="7"/>
        <v>908</v>
      </c>
      <c r="AP26" s="762">
        <f t="shared" si="7"/>
        <v>185.45</v>
      </c>
      <c r="AQ26" s="805">
        <f t="shared" si="7"/>
        <v>289.27999999999997</v>
      </c>
      <c r="AR26" s="759">
        <f t="shared" si="7"/>
        <v>11806.86</v>
      </c>
      <c r="AS26" s="805">
        <f t="shared" si="7"/>
        <v>3021</v>
      </c>
      <c r="AT26" s="759">
        <f t="shared" si="7"/>
        <v>14227.82</v>
      </c>
      <c r="AU26" s="805">
        <f t="shared" si="7"/>
        <v>22469</v>
      </c>
      <c r="AV26" s="759">
        <f t="shared" ref="AV26:AW28" si="8">SUM(B26+D26+F26+H26+J26+L26+N26+P26+R26+T26+V26+X26+Z26+AB26+AD26+AF26+AH26+AJ26+AL26+AN26+AP26+AR26+AT26)</f>
        <v>280201.65000000008</v>
      </c>
      <c r="AW26" s="799">
        <f t="shared" si="8"/>
        <v>138397.02000000002</v>
      </c>
      <c r="AX26" s="759">
        <f>SUM(AX13:AX24)</f>
        <v>12.49</v>
      </c>
      <c r="AY26" s="760">
        <f>SUM(AY13:AY24)</f>
        <v>82950.28</v>
      </c>
      <c r="AZ26" s="759">
        <f t="shared" ref="AZ26:BA28" si="9">AV26+AX26</f>
        <v>280214.14000000007</v>
      </c>
      <c r="BA26" s="762">
        <f t="shared" si="9"/>
        <v>221347.30000000002</v>
      </c>
    </row>
    <row r="27" spans="1:53" x14ac:dyDescent="0.3">
      <c r="A27" s="707" t="s">
        <v>139</v>
      </c>
      <c r="B27" s="317">
        <v>2830.88</v>
      </c>
      <c r="C27" s="317">
        <v>2912</v>
      </c>
      <c r="D27" s="17">
        <v>-2604.9299999999998</v>
      </c>
      <c r="E27" s="804">
        <v>-2859</v>
      </c>
      <c r="F27" s="17">
        <v>-363.56</v>
      </c>
      <c r="G27" s="19">
        <v>-505</v>
      </c>
      <c r="H27" s="17">
        <f>H12-H26</f>
        <v>8850.4200000000055</v>
      </c>
      <c r="I27" s="697">
        <v>14169</v>
      </c>
      <c r="J27" s="17">
        <v>-8424.39</v>
      </c>
      <c r="K27" s="804">
        <v>-11135</v>
      </c>
      <c r="L27" s="17">
        <v>-9483.68</v>
      </c>
      <c r="M27" s="804">
        <v>-2763</v>
      </c>
      <c r="N27" s="17">
        <v>-1227</v>
      </c>
      <c r="O27" s="804">
        <v>2711</v>
      </c>
      <c r="P27" s="17">
        <v>-5074.78</v>
      </c>
      <c r="Q27" s="804">
        <v>-5853</v>
      </c>
      <c r="R27" s="17">
        <v>-8438.82</v>
      </c>
      <c r="S27" s="804">
        <v>-3788</v>
      </c>
      <c r="T27" s="17">
        <v>-2750.75</v>
      </c>
      <c r="U27" s="804">
        <v>-5352</v>
      </c>
      <c r="V27" s="17">
        <v>30673.72</v>
      </c>
      <c r="W27" s="804">
        <v>36631</v>
      </c>
      <c r="X27" s="17">
        <v>-21536.11</v>
      </c>
      <c r="Y27" s="804">
        <v>15682</v>
      </c>
      <c r="Z27" s="47">
        <v>1189.8499999999999</v>
      </c>
      <c r="AA27" s="842">
        <v>1078</v>
      </c>
      <c r="AB27" s="17">
        <v>-14434.42</v>
      </c>
      <c r="AC27" s="804">
        <v>-4182</v>
      </c>
      <c r="AD27" s="17">
        <v>-26571.14</v>
      </c>
      <c r="AE27" s="19">
        <v>25613</v>
      </c>
      <c r="AF27" s="17">
        <v>7692.33</v>
      </c>
      <c r="AG27" s="804">
        <v>9058</v>
      </c>
      <c r="AH27" s="17">
        <v>-14531.43</v>
      </c>
      <c r="AI27" s="804">
        <v>2209</v>
      </c>
      <c r="AJ27" s="17">
        <v>-4989.12</v>
      </c>
      <c r="AK27" s="804">
        <v>2475</v>
      </c>
      <c r="AL27" s="835"/>
      <c r="AM27" s="804"/>
      <c r="AN27" s="258">
        <v>23342</v>
      </c>
      <c r="AO27" s="825">
        <v>26742</v>
      </c>
      <c r="AP27" s="829">
        <v>2716.99</v>
      </c>
      <c r="AQ27" s="356">
        <v>1408.69</v>
      </c>
      <c r="AR27" s="196">
        <v>-10735.56</v>
      </c>
      <c r="AS27" s="810">
        <v>-1761</v>
      </c>
      <c r="AT27" s="17">
        <v>-10313.57</v>
      </c>
      <c r="AU27" s="804">
        <v>-18520</v>
      </c>
      <c r="AV27" s="13">
        <f t="shared" si="8"/>
        <v>-64183.069999999992</v>
      </c>
      <c r="AW27" s="318">
        <f t="shared" si="8"/>
        <v>83970.69</v>
      </c>
      <c r="AX27" s="196">
        <v>452.35</v>
      </c>
      <c r="AY27" s="21">
        <v>70442</v>
      </c>
      <c r="AZ27" s="13">
        <f t="shared" si="9"/>
        <v>-63730.719999999994</v>
      </c>
      <c r="BA27" s="796">
        <f t="shared" si="9"/>
        <v>154412.69</v>
      </c>
    </row>
    <row r="28" spans="1:53" x14ac:dyDescent="0.3">
      <c r="A28" s="707" t="s">
        <v>140</v>
      </c>
      <c r="B28" s="317">
        <v>369.26</v>
      </c>
      <c r="C28" s="317">
        <v>595</v>
      </c>
      <c r="D28" s="17"/>
      <c r="E28" s="804"/>
      <c r="F28" s="17"/>
      <c r="G28" s="19"/>
      <c r="H28" s="17"/>
      <c r="I28" s="804"/>
      <c r="J28" s="17"/>
      <c r="K28" s="804"/>
      <c r="L28" s="17"/>
      <c r="M28" s="804">
        <v>136</v>
      </c>
      <c r="N28" s="17"/>
      <c r="O28" s="804"/>
      <c r="P28" s="17"/>
      <c r="Q28" s="804"/>
      <c r="R28" s="17"/>
      <c r="S28" s="804"/>
      <c r="T28" s="17"/>
      <c r="U28" s="804"/>
      <c r="V28" s="17">
        <v>438.24</v>
      </c>
      <c r="W28" s="804">
        <v>102</v>
      </c>
      <c r="X28" s="17"/>
      <c r="Y28" s="804"/>
      <c r="Z28" s="47">
        <v>173.24</v>
      </c>
      <c r="AA28" s="842">
        <v>155</v>
      </c>
      <c r="AB28" s="17"/>
      <c r="AC28" s="804"/>
      <c r="AD28" s="17"/>
      <c r="AE28" s="19"/>
      <c r="AF28" s="17">
        <v>611.52</v>
      </c>
      <c r="AG28" s="804">
        <v>1270</v>
      </c>
      <c r="AH28" s="17"/>
      <c r="AI28" s="804">
        <v>257</v>
      </c>
      <c r="AJ28" s="17"/>
      <c r="AK28" s="804"/>
      <c r="AL28" s="835"/>
      <c r="AM28" s="804"/>
      <c r="AN28" s="257">
        <v>1026</v>
      </c>
      <c r="AO28" s="824">
        <v>457</v>
      </c>
      <c r="AP28" s="829">
        <v>402.43</v>
      </c>
      <c r="AQ28" s="356">
        <v>237.97</v>
      </c>
      <c r="AR28" s="196"/>
      <c r="AS28" s="810"/>
      <c r="AT28" s="17">
        <v>-543.52</v>
      </c>
      <c r="AU28" s="804">
        <v>418</v>
      </c>
      <c r="AV28" s="13">
        <f t="shared" si="8"/>
        <v>2477.17</v>
      </c>
      <c r="AW28" s="318">
        <f t="shared" si="8"/>
        <v>3627.97</v>
      </c>
      <c r="AX28" s="196">
        <v>158.07</v>
      </c>
      <c r="AY28" s="21">
        <v>2153</v>
      </c>
      <c r="AZ28" s="13">
        <f t="shared" si="9"/>
        <v>2635.2400000000002</v>
      </c>
      <c r="BA28" s="796">
        <f t="shared" si="9"/>
        <v>5780.9699999999993</v>
      </c>
    </row>
    <row r="29" spans="1:53" x14ac:dyDescent="0.3">
      <c r="A29" s="707" t="s">
        <v>257</v>
      </c>
      <c r="B29" s="317"/>
      <c r="C29" s="317"/>
      <c r="D29" s="17"/>
      <c r="E29" s="804"/>
      <c r="F29" s="17"/>
      <c r="G29" s="19"/>
      <c r="H29" s="17">
        <v>445.93</v>
      </c>
      <c r="I29" s="804">
        <v>1801</v>
      </c>
      <c r="J29" s="17"/>
      <c r="K29" s="804"/>
      <c r="L29" s="17"/>
      <c r="M29" s="804"/>
      <c r="N29" s="17"/>
      <c r="O29" s="804"/>
      <c r="P29" s="17"/>
      <c r="Q29" s="804"/>
      <c r="R29" s="17"/>
      <c r="S29" s="804"/>
      <c r="T29" s="17"/>
      <c r="U29" s="804"/>
      <c r="V29" s="17"/>
      <c r="W29" s="804"/>
      <c r="X29" s="17">
        <v>-2</v>
      </c>
      <c r="Y29" s="804"/>
      <c r="Z29" s="47"/>
      <c r="AA29" s="842"/>
      <c r="AB29" s="17"/>
      <c r="AC29" s="804"/>
      <c r="AD29" s="17">
        <v>878.16</v>
      </c>
      <c r="AE29" s="19">
        <v>845</v>
      </c>
      <c r="AF29" s="17"/>
      <c r="AG29" s="804"/>
      <c r="AH29" s="17"/>
      <c r="AI29" s="804"/>
      <c r="AJ29" s="17"/>
      <c r="AK29" s="804"/>
      <c r="AL29" s="835"/>
      <c r="AM29" s="804"/>
      <c r="AN29" s="257"/>
      <c r="AO29" s="824"/>
      <c r="AP29" s="829"/>
      <c r="AQ29" s="356"/>
      <c r="AR29" s="196"/>
      <c r="AS29" s="810"/>
      <c r="AT29" s="17"/>
      <c r="AU29" s="804"/>
      <c r="AV29" s="13"/>
      <c r="AW29" s="318"/>
      <c r="AX29" s="196"/>
      <c r="AY29" s="21"/>
      <c r="AZ29" s="13"/>
      <c r="BA29" s="796"/>
    </row>
    <row r="30" spans="1:53" x14ac:dyDescent="0.3">
      <c r="A30" s="707" t="s">
        <v>141</v>
      </c>
      <c r="B30" s="317"/>
      <c r="C30" s="317"/>
      <c r="D30" s="17"/>
      <c r="E30" s="804"/>
      <c r="F30" s="17"/>
      <c r="G30" s="19"/>
      <c r="H30" s="17"/>
      <c r="I30" s="804"/>
      <c r="J30" s="17"/>
      <c r="K30" s="804"/>
      <c r="L30" s="17"/>
      <c r="M30" s="804"/>
      <c r="N30" s="17">
        <v>160</v>
      </c>
      <c r="O30" s="804">
        <v>-352</v>
      </c>
      <c r="P30" s="17"/>
      <c r="Q30" s="804"/>
      <c r="R30" s="17"/>
      <c r="S30" s="804"/>
      <c r="T30" s="17"/>
      <c r="U30" s="804"/>
      <c r="V30" s="17"/>
      <c r="W30" s="804"/>
      <c r="X30" s="17">
        <v>3009</v>
      </c>
      <c r="Y30" s="804">
        <v>-26</v>
      </c>
      <c r="Z30" s="47"/>
      <c r="AA30" s="842"/>
      <c r="AB30" s="17"/>
      <c r="AC30" s="804"/>
      <c r="AD30" s="17"/>
      <c r="AE30" s="19"/>
      <c r="AF30" s="17"/>
      <c r="AG30" s="804"/>
      <c r="AH30" s="17"/>
      <c r="AI30" s="804"/>
      <c r="AJ30" s="17"/>
      <c r="AK30" s="804"/>
      <c r="AL30" s="835"/>
      <c r="AM30" s="804"/>
      <c r="AN30" s="257"/>
      <c r="AO30" s="824"/>
      <c r="AP30" s="829"/>
      <c r="AQ30" s="356"/>
      <c r="AR30" s="196"/>
      <c r="AS30" s="810"/>
      <c r="AT30" s="17"/>
      <c r="AU30" s="804"/>
      <c r="AV30" s="13">
        <f t="shared" ref="AV30:AV38" si="10">SUM(B30+D30+F30+H30+J30+L30+N30+P30+R30+T30+V30+X30+Z30+AB30+AD30+AF30+AH30+AJ30+AL30+AN30+AP30+AR30+AT30)</f>
        <v>3169</v>
      </c>
      <c r="AW30" s="318">
        <f t="shared" ref="AW30:AW38" si="11">SUM(C30+E30+G30+I30+K30+M30+O30+Q30+S30+U30+W30+Y30+AA30+AC30+AE30+AG30+AI30+AK30+AM30+AO30+AQ30+AS30+AU30)</f>
        <v>-378</v>
      </c>
      <c r="AX30" s="196"/>
      <c r="AY30" s="21"/>
      <c r="AZ30" s="13">
        <f t="shared" ref="AZ30:AZ38" si="12">AV30+AX30</f>
        <v>3169</v>
      </c>
      <c r="BA30" s="796">
        <f t="shared" ref="BA30:BA38" si="13">AW30+AY30</f>
        <v>-378</v>
      </c>
    </row>
    <row r="31" spans="1:53" x14ac:dyDescent="0.3">
      <c r="A31" s="707" t="s">
        <v>142</v>
      </c>
      <c r="B31" s="303"/>
      <c r="C31" s="317"/>
      <c r="D31" s="17"/>
      <c r="E31" s="804"/>
      <c r="F31" s="17"/>
      <c r="G31" s="19"/>
      <c r="H31" s="17"/>
      <c r="I31" s="804"/>
      <c r="J31" s="17"/>
      <c r="K31" s="804"/>
      <c r="L31" s="17"/>
      <c r="M31" s="804"/>
      <c r="N31" s="17"/>
      <c r="O31" s="804"/>
      <c r="P31" s="17"/>
      <c r="Q31" s="804"/>
      <c r="R31" s="17"/>
      <c r="S31" s="804"/>
      <c r="T31" s="17"/>
      <c r="U31" s="804"/>
      <c r="V31" s="17"/>
      <c r="W31" s="804"/>
      <c r="X31" s="17"/>
      <c r="Y31" s="804"/>
      <c r="Z31" s="47"/>
      <c r="AA31" s="842"/>
      <c r="AB31" s="17"/>
      <c r="AC31" s="804"/>
      <c r="AD31" s="17"/>
      <c r="AE31" s="19"/>
      <c r="AF31" s="17"/>
      <c r="AG31" s="804"/>
      <c r="AH31" s="17"/>
      <c r="AI31" s="804"/>
      <c r="AJ31" s="17"/>
      <c r="AK31" s="804"/>
      <c r="AL31" s="835"/>
      <c r="AM31" s="804"/>
      <c r="AN31" s="258"/>
      <c r="AO31" s="825"/>
      <c r="AP31" s="829"/>
      <c r="AQ31" s="356"/>
      <c r="AR31" s="196"/>
      <c r="AS31" s="810"/>
      <c r="AT31" s="17"/>
      <c r="AU31" s="804"/>
      <c r="AV31" s="13">
        <f t="shared" si="10"/>
        <v>0</v>
      </c>
      <c r="AW31" s="318">
        <f t="shared" si="11"/>
        <v>0</v>
      </c>
      <c r="AX31" s="196"/>
      <c r="AY31" s="21"/>
      <c r="AZ31" s="13">
        <f t="shared" si="12"/>
        <v>0</v>
      </c>
      <c r="BA31" s="796">
        <f t="shared" si="13"/>
        <v>0</v>
      </c>
    </row>
    <row r="32" spans="1:53" s="1225" customFormat="1" ht="13.5" x14ac:dyDescent="0.25">
      <c r="A32" s="1210" t="s">
        <v>410</v>
      </c>
      <c r="B32" s="799">
        <v>2456</v>
      </c>
      <c r="C32" s="799">
        <v>2317</v>
      </c>
      <c r="D32" s="1211">
        <v>-2604.9299999999998</v>
      </c>
      <c r="E32" s="1212">
        <v>-2859</v>
      </c>
      <c r="F32" s="1211">
        <v>-363.56</v>
      </c>
      <c r="G32" s="1213">
        <v>-505</v>
      </c>
      <c r="H32" s="1211">
        <v>8404.49</v>
      </c>
      <c r="I32" s="1212">
        <v>12368</v>
      </c>
      <c r="J32" s="1211">
        <v>-8424.39</v>
      </c>
      <c r="K32" s="1214">
        <f>-11135</f>
        <v>-11135</v>
      </c>
      <c r="L32" s="1211">
        <f>L27</f>
        <v>-9483.68</v>
      </c>
      <c r="M32" s="1214">
        <v>-2899</v>
      </c>
      <c r="N32" s="1211">
        <v>-1067</v>
      </c>
      <c r="O32" s="1212">
        <v>2359</v>
      </c>
      <c r="P32" s="1211">
        <f>P27</f>
        <v>-5074.78</v>
      </c>
      <c r="Q32" s="1212">
        <v>-5853</v>
      </c>
      <c r="R32" s="1211">
        <v>-8438.82</v>
      </c>
      <c r="S32" s="1212">
        <v>-3788</v>
      </c>
      <c r="T32" s="1211">
        <v>-2750.75</v>
      </c>
      <c r="U32" s="1212">
        <v>-5352</v>
      </c>
      <c r="V32" s="1211">
        <v>30235.48</v>
      </c>
      <c r="W32" s="1212">
        <v>36529</v>
      </c>
      <c r="X32" s="1211">
        <v>18529.060000000001</v>
      </c>
      <c r="Y32" s="1212">
        <v>-18529</v>
      </c>
      <c r="Z32" s="1215">
        <v>1016.61</v>
      </c>
      <c r="AA32" s="1216">
        <v>923</v>
      </c>
      <c r="AB32" s="1211">
        <v>-14434.42</v>
      </c>
      <c r="AC32" s="1212">
        <v>-4182</v>
      </c>
      <c r="AD32" s="1211">
        <v>-27449.3</v>
      </c>
      <c r="AE32" s="1213">
        <v>24768</v>
      </c>
      <c r="AF32" s="1211">
        <v>4956</v>
      </c>
      <c r="AG32" s="1212">
        <v>7788</v>
      </c>
      <c r="AH32" s="1211">
        <v>-14531.43</v>
      </c>
      <c r="AI32" s="1212">
        <v>1952</v>
      </c>
      <c r="AJ32" s="1211">
        <v>-4989.12</v>
      </c>
      <c r="AK32" s="1212">
        <v>2475</v>
      </c>
      <c r="AL32" s="1217"/>
      <c r="AM32" s="1212"/>
      <c r="AN32" s="1218">
        <v>22316.15</v>
      </c>
      <c r="AO32" s="1219">
        <v>26285</v>
      </c>
      <c r="AP32" s="1220">
        <v>2314.56</v>
      </c>
      <c r="AQ32" s="1221">
        <v>1170.72</v>
      </c>
      <c r="AR32" s="1222">
        <v>-10735.56</v>
      </c>
      <c r="AS32" s="1223">
        <f>AS27</f>
        <v>-1761</v>
      </c>
      <c r="AT32" s="1211">
        <v>-10857.09</v>
      </c>
      <c r="AU32" s="1212">
        <v>-18938</v>
      </c>
      <c r="AV32" s="759">
        <f t="shared" si="10"/>
        <v>-30976.48</v>
      </c>
      <c r="AW32" s="799">
        <f t="shared" si="11"/>
        <v>43133.72</v>
      </c>
      <c r="AX32" s="1222">
        <v>29428</v>
      </c>
      <c r="AY32" s="1224">
        <v>68288.899999999994</v>
      </c>
      <c r="AZ32" s="759">
        <f t="shared" si="12"/>
        <v>-1548.4799999999996</v>
      </c>
      <c r="BA32" s="762">
        <f t="shared" si="13"/>
        <v>111422.62</v>
      </c>
    </row>
    <row r="33" spans="1:53" x14ac:dyDescent="0.3">
      <c r="A33" s="708" t="s">
        <v>143</v>
      </c>
      <c r="B33" s="318"/>
      <c r="C33" s="318"/>
      <c r="D33" s="25"/>
      <c r="E33" s="724"/>
      <c r="F33" s="25"/>
      <c r="G33" s="28"/>
      <c r="H33" s="25"/>
      <c r="I33" s="724"/>
      <c r="J33" s="25"/>
      <c r="K33" s="724"/>
      <c r="L33" s="25"/>
      <c r="M33" s="724"/>
      <c r="N33" s="25"/>
      <c r="O33" s="724"/>
      <c r="P33" s="274"/>
      <c r="Q33" s="261"/>
      <c r="R33" s="25"/>
      <c r="S33" s="724"/>
      <c r="T33" s="25"/>
      <c r="U33" s="724"/>
      <c r="V33" s="25"/>
      <c r="W33" s="724"/>
      <c r="X33" s="25"/>
      <c r="Y33" s="724"/>
      <c r="Z33" s="47"/>
      <c r="AA33" s="842"/>
      <c r="AB33" s="25"/>
      <c r="AC33" s="724"/>
      <c r="AD33" s="840"/>
      <c r="AE33" s="30"/>
      <c r="AF33" s="25"/>
      <c r="AG33" s="724"/>
      <c r="AH33" s="25"/>
      <c r="AI33" s="724"/>
      <c r="AJ33" s="25"/>
      <c r="AK33" s="724"/>
      <c r="AL33" s="835"/>
      <c r="AM33" s="804"/>
      <c r="AN33" s="257"/>
      <c r="AO33" s="824"/>
      <c r="AP33" s="829"/>
      <c r="AQ33" s="356"/>
      <c r="AR33" s="196"/>
      <c r="AS33" s="810"/>
      <c r="AT33" s="25"/>
      <c r="AU33" s="724"/>
      <c r="AV33" s="13">
        <f t="shared" si="10"/>
        <v>0</v>
      </c>
      <c r="AW33" s="318">
        <f t="shared" si="11"/>
        <v>0</v>
      </c>
      <c r="AX33" s="25"/>
      <c r="AY33" s="24"/>
      <c r="AZ33" s="13">
        <f t="shared" si="12"/>
        <v>0</v>
      </c>
      <c r="BA33" s="796">
        <f t="shared" si="13"/>
        <v>0</v>
      </c>
    </row>
    <row r="34" spans="1:53" ht="28.5" x14ac:dyDescent="0.3">
      <c r="A34" s="707" t="s">
        <v>144</v>
      </c>
      <c r="B34" s="317">
        <v>8293</v>
      </c>
      <c r="C34" s="317">
        <v>17476</v>
      </c>
      <c r="D34" s="17">
        <v>-70411.199999999997</v>
      </c>
      <c r="E34" s="804">
        <v>-79251</v>
      </c>
      <c r="F34" s="17">
        <v>-138940.99</v>
      </c>
      <c r="G34" s="19">
        <v>-147534</v>
      </c>
      <c r="H34" s="17">
        <v>907623.97</v>
      </c>
      <c r="I34" s="804">
        <v>926350</v>
      </c>
      <c r="J34" s="17">
        <v>-286149.98</v>
      </c>
      <c r="K34" s="804">
        <v>-320383</v>
      </c>
      <c r="L34" s="17">
        <v>20512.73</v>
      </c>
      <c r="M34" s="804">
        <v>21537</v>
      </c>
      <c r="N34" s="17">
        <v>-20451</v>
      </c>
      <c r="O34" s="804">
        <v>-20951</v>
      </c>
      <c r="P34" s="25">
        <v>-162898.96</v>
      </c>
      <c r="Q34" s="724">
        <v>-185192</v>
      </c>
      <c r="R34" s="17">
        <v>-64297.18</v>
      </c>
      <c r="S34" s="804">
        <v>-63136</v>
      </c>
      <c r="T34" s="17">
        <v>-197717.44</v>
      </c>
      <c r="U34" s="804">
        <v>-216111</v>
      </c>
      <c r="V34" s="17">
        <v>592939.69999999995</v>
      </c>
      <c r="W34" s="804">
        <v>672861</v>
      </c>
      <c r="X34" s="17">
        <v>360062.4</v>
      </c>
      <c r="Y34" s="804">
        <v>407252</v>
      </c>
      <c r="Z34" s="196">
        <v>23860.69</v>
      </c>
      <c r="AA34" s="810">
        <v>22895</v>
      </c>
      <c r="AB34" s="17">
        <v>-16909.39</v>
      </c>
      <c r="AC34" s="804">
        <v>-45071</v>
      </c>
      <c r="AD34" s="17">
        <v>34831445</v>
      </c>
      <c r="AE34" s="19">
        <v>382688</v>
      </c>
      <c r="AF34" s="17">
        <v>84172.57</v>
      </c>
      <c r="AG34" s="804">
        <v>104193</v>
      </c>
      <c r="AH34" s="17">
        <v>-60066.82</v>
      </c>
      <c r="AI34" s="804">
        <v>-67170</v>
      </c>
      <c r="AJ34" s="17">
        <v>-14706.73</v>
      </c>
      <c r="AK34" s="804">
        <v>-8185</v>
      </c>
      <c r="AL34" s="835"/>
      <c r="AM34" s="804"/>
      <c r="AN34" s="258">
        <v>908816</v>
      </c>
      <c r="AO34" s="825">
        <v>1039408</v>
      </c>
      <c r="AP34" s="829">
        <v>54668.1</v>
      </c>
      <c r="AQ34" s="356">
        <v>50491.99</v>
      </c>
      <c r="AR34" s="196">
        <v>19342</v>
      </c>
      <c r="AS34" s="810">
        <v>19388</v>
      </c>
      <c r="AT34" s="17">
        <v>18127.419999999998</v>
      </c>
      <c r="AU34" s="804">
        <v>20319</v>
      </c>
      <c r="AV34" s="13">
        <f t="shared" si="10"/>
        <v>36797313.890000008</v>
      </c>
      <c r="AW34" s="318">
        <f t="shared" si="11"/>
        <v>2531874.9900000002</v>
      </c>
      <c r="AX34" s="17"/>
      <c r="AY34" s="16">
        <v>401433</v>
      </c>
      <c r="AZ34" s="13">
        <f t="shared" si="12"/>
        <v>36797313.890000008</v>
      </c>
      <c r="BA34" s="796">
        <f t="shared" si="13"/>
        <v>2933307.99</v>
      </c>
    </row>
    <row r="35" spans="1:53" ht="28.5" x14ac:dyDescent="0.3">
      <c r="A35" s="709" t="s">
        <v>396</v>
      </c>
      <c r="B35" s="317"/>
      <c r="C35" s="317"/>
      <c r="D35" s="17"/>
      <c r="E35" s="804"/>
      <c r="F35" s="17"/>
      <c r="G35" s="19"/>
      <c r="H35" s="17"/>
      <c r="I35" s="804">
        <v>31498</v>
      </c>
      <c r="J35" s="17"/>
      <c r="K35" s="804"/>
      <c r="L35" s="17"/>
      <c r="M35" s="804"/>
      <c r="N35" s="17"/>
      <c r="O35" s="804"/>
      <c r="P35" s="17"/>
      <c r="Q35" s="804"/>
      <c r="R35" s="17"/>
      <c r="S35" s="804"/>
      <c r="T35" s="17"/>
      <c r="U35" s="804"/>
      <c r="V35" s="17"/>
      <c r="W35" s="804"/>
      <c r="X35" s="17"/>
      <c r="Y35" s="804"/>
      <c r="Z35" s="196"/>
      <c r="AA35" s="810"/>
      <c r="AB35" s="17"/>
      <c r="AC35" s="804"/>
      <c r="AD35" s="17"/>
      <c r="AE35" s="19"/>
      <c r="AF35" s="17"/>
      <c r="AG35" s="804"/>
      <c r="AH35" s="17"/>
      <c r="AI35" s="804"/>
      <c r="AJ35" s="17"/>
      <c r="AK35" s="804"/>
      <c r="AL35" s="835"/>
      <c r="AM35" s="804"/>
      <c r="AN35" s="259"/>
      <c r="AO35" s="826"/>
      <c r="AP35" s="829"/>
      <c r="AQ35" s="356"/>
      <c r="AR35" s="196"/>
      <c r="AS35" s="810"/>
      <c r="AT35" s="17"/>
      <c r="AU35" s="804"/>
      <c r="AV35" s="13">
        <f t="shared" si="10"/>
        <v>0</v>
      </c>
      <c r="AW35" s="318">
        <f t="shared" si="11"/>
        <v>31498</v>
      </c>
      <c r="AX35" s="17"/>
      <c r="AY35" s="16"/>
      <c r="AZ35" s="13">
        <f t="shared" si="12"/>
        <v>0</v>
      </c>
      <c r="BA35" s="796">
        <f t="shared" si="13"/>
        <v>31498</v>
      </c>
    </row>
    <row r="36" spans="1:53" x14ac:dyDescent="0.3">
      <c r="A36" s="709" t="s">
        <v>145</v>
      </c>
      <c r="B36" s="317"/>
      <c r="C36" s="317"/>
      <c r="D36" s="17"/>
      <c r="E36" s="804"/>
      <c r="F36" s="17"/>
      <c r="G36" s="19"/>
      <c r="H36" s="17"/>
      <c r="I36" s="804"/>
      <c r="J36" s="17"/>
      <c r="K36" s="804"/>
      <c r="L36" s="17"/>
      <c r="M36" s="804"/>
      <c r="N36" s="17"/>
      <c r="O36" s="804"/>
      <c r="P36" s="17"/>
      <c r="Q36" s="804"/>
      <c r="R36" s="17"/>
      <c r="S36" s="804"/>
      <c r="T36" s="17"/>
      <c r="U36" s="804"/>
      <c r="V36" s="17"/>
      <c r="W36" s="804">
        <v>-35923</v>
      </c>
      <c r="X36" s="17">
        <v>28730.74</v>
      </c>
      <c r="Y36" s="804">
        <v>7906</v>
      </c>
      <c r="Z36" s="196">
        <v>-10400</v>
      </c>
      <c r="AA36" s="810"/>
      <c r="AB36" s="17"/>
      <c r="AC36" s="804"/>
      <c r="AD36" s="17">
        <v>8164.64</v>
      </c>
      <c r="AE36" s="19">
        <v>11482</v>
      </c>
      <c r="AF36" s="17">
        <v>17653.080000000002</v>
      </c>
      <c r="AG36" s="804"/>
      <c r="AH36" s="17"/>
      <c r="AI36" s="804"/>
      <c r="AJ36" s="17"/>
      <c r="AK36" s="804"/>
      <c r="AL36" s="835"/>
      <c r="AM36" s="804"/>
      <c r="AN36" s="259"/>
      <c r="AO36" s="826"/>
      <c r="AP36" s="829">
        <v>4430.5600000000004</v>
      </c>
      <c r="AQ36" s="356"/>
      <c r="AR36" s="196"/>
      <c r="AS36" s="810"/>
      <c r="AT36" s="17"/>
      <c r="AU36" s="804"/>
      <c r="AV36" s="13">
        <f t="shared" si="10"/>
        <v>48579.020000000004</v>
      </c>
      <c r="AW36" s="318">
        <f t="shared" si="11"/>
        <v>-16535</v>
      </c>
      <c r="AX36" s="17"/>
      <c r="AY36" s="16"/>
      <c r="AZ36" s="13">
        <f t="shared" si="12"/>
        <v>48579.020000000004</v>
      </c>
      <c r="BA36" s="796">
        <f t="shared" si="13"/>
        <v>-16535</v>
      </c>
    </row>
    <row r="37" spans="1:53" x14ac:dyDescent="0.3">
      <c r="A37" s="707" t="s">
        <v>146</v>
      </c>
      <c r="B37" s="317"/>
      <c r="C37" s="317"/>
      <c r="D37" s="17"/>
      <c r="E37" s="804"/>
      <c r="F37" s="17"/>
      <c r="G37" s="19"/>
      <c r="H37" s="17"/>
      <c r="I37" s="804"/>
      <c r="J37" s="17"/>
      <c r="K37" s="804"/>
      <c r="L37" s="17"/>
      <c r="M37" s="804"/>
      <c r="N37" s="17"/>
      <c r="O37" s="804"/>
      <c r="P37" s="17"/>
      <c r="Q37" s="804"/>
      <c r="R37" s="17"/>
      <c r="S37" s="804"/>
      <c r="T37" s="17"/>
      <c r="U37" s="804"/>
      <c r="V37" s="17"/>
      <c r="W37" s="804"/>
      <c r="X37" s="17"/>
      <c r="Y37" s="804"/>
      <c r="Z37" s="196"/>
      <c r="AA37" s="810"/>
      <c r="AB37" s="17"/>
      <c r="AC37" s="804"/>
      <c r="AD37" s="17"/>
      <c r="AE37" s="19"/>
      <c r="AF37" s="17"/>
      <c r="AG37" s="804"/>
      <c r="AH37" s="17"/>
      <c r="AI37" s="804"/>
      <c r="AJ37" s="17"/>
      <c r="AK37" s="804"/>
      <c r="AL37" s="835"/>
      <c r="AM37" s="804"/>
      <c r="AN37" s="259"/>
      <c r="AO37" s="826"/>
      <c r="AP37" s="829"/>
      <c r="AQ37" s="356"/>
      <c r="AR37" s="196"/>
      <c r="AS37" s="810"/>
      <c r="AT37" s="17"/>
      <c r="AU37" s="804"/>
      <c r="AV37" s="13">
        <f t="shared" si="10"/>
        <v>0</v>
      </c>
      <c r="AW37" s="318">
        <f t="shared" si="11"/>
        <v>0</v>
      </c>
      <c r="AX37" s="17"/>
      <c r="AY37" s="16"/>
      <c r="AZ37" s="13">
        <f t="shared" si="12"/>
        <v>0</v>
      </c>
      <c r="BA37" s="796">
        <f t="shared" si="13"/>
        <v>0</v>
      </c>
    </row>
    <row r="38" spans="1:53" ht="28.5" x14ac:dyDescent="0.3">
      <c r="A38" s="707" t="s">
        <v>147</v>
      </c>
      <c r="B38" s="318"/>
      <c r="C38" s="318"/>
      <c r="D38" s="25"/>
      <c r="E38" s="806"/>
      <c r="F38" s="25"/>
      <c r="G38" s="30"/>
      <c r="H38" s="25"/>
      <c r="I38" s="806"/>
      <c r="J38" s="25">
        <v>4.5</v>
      </c>
      <c r="K38" s="806">
        <v>2.23</v>
      </c>
      <c r="L38" s="25"/>
      <c r="M38" s="806"/>
      <c r="N38" s="25"/>
      <c r="O38" s="806"/>
      <c r="P38" s="25"/>
      <c r="Q38" s="806">
        <v>17</v>
      </c>
      <c r="R38" s="25"/>
      <c r="S38" s="806"/>
      <c r="T38" s="25"/>
      <c r="U38" s="806"/>
      <c r="V38" s="25"/>
      <c r="W38" s="806"/>
      <c r="X38" s="25"/>
      <c r="Y38" s="806"/>
      <c r="Z38" s="47"/>
      <c r="AA38" s="843"/>
      <c r="AB38" s="25"/>
      <c r="AC38" s="806"/>
      <c r="AD38" s="840"/>
      <c r="AE38" s="30"/>
      <c r="AF38" s="25"/>
      <c r="AG38" s="806"/>
      <c r="AH38" s="25"/>
      <c r="AI38" s="806"/>
      <c r="AJ38" s="25"/>
      <c r="AK38" s="806"/>
      <c r="AL38" s="835"/>
      <c r="AM38" s="832"/>
      <c r="AN38" s="259"/>
      <c r="AO38" s="826"/>
      <c r="AP38" s="829"/>
      <c r="AQ38" s="816"/>
      <c r="AR38" s="196"/>
      <c r="AS38" s="811"/>
      <c r="AT38" s="25"/>
      <c r="AU38" s="806"/>
      <c r="AV38" s="13">
        <f t="shared" si="10"/>
        <v>4.5</v>
      </c>
      <c r="AW38" s="318">
        <f t="shared" si="11"/>
        <v>19.23</v>
      </c>
      <c r="AX38" s="25">
        <v>29428</v>
      </c>
      <c r="AY38" s="29"/>
      <c r="AZ38" s="13">
        <f t="shared" si="12"/>
        <v>29432.5</v>
      </c>
      <c r="BA38" s="796">
        <f t="shared" si="13"/>
        <v>19.23</v>
      </c>
    </row>
    <row r="39" spans="1:53" ht="28.5" x14ac:dyDescent="0.3">
      <c r="A39" s="710" t="s">
        <v>250</v>
      </c>
      <c r="B39" s="318"/>
      <c r="C39" s="318"/>
      <c r="D39" s="575"/>
      <c r="E39" s="807"/>
      <c r="F39" s="575"/>
      <c r="G39" s="571"/>
      <c r="H39" s="575"/>
      <c r="I39" s="807"/>
      <c r="J39" s="575"/>
      <c r="K39" s="807"/>
      <c r="L39" s="575"/>
      <c r="M39" s="807"/>
      <c r="N39" s="575"/>
      <c r="O39" s="807"/>
      <c r="P39" s="575"/>
      <c r="Q39" s="807"/>
      <c r="R39" s="575"/>
      <c r="S39" s="807"/>
      <c r="T39" s="575"/>
      <c r="U39" s="807"/>
      <c r="V39" s="575"/>
      <c r="W39" s="807"/>
      <c r="X39" s="575"/>
      <c r="Y39" s="807"/>
      <c r="Z39" s="847"/>
      <c r="AA39" s="844"/>
      <c r="AB39" s="575"/>
      <c r="AC39" s="807"/>
      <c r="AD39" s="841"/>
      <c r="AE39" s="571"/>
      <c r="AF39" s="575"/>
      <c r="AG39" s="807"/>
      <c r="AH39" s="575"/>
      <c r="AI39" s="807"/>
      <c r="AJ39" s="575"/>
      <c r="AK39" s="807"/>
      <c r="AL39" s="836"/>
      <c r="AM39" s="833"/>
      <c r="AN39" s="572"/>
      <c r="AO39" s="827"/>
      <c r="AP39" s="304"/>
      <c r="AQ39" s="573"/>
      <c r="AR39" s="554"/>
      <c r="AS39" s="812"/>
      <c r="AT39" s="575"/>
      <c r="AU39" s="807"/>
      <c r="AV39" s="567"/>
      <c r="AW39" s="800"/>
      <c r="AX39" s="575"/>
      <c r="AY39" s="570"/>
      <c r="AZ39" s="567"/>
      <c r="BA39" s="568"/>
    </row>
    <row r="40" spans="1:53" s="757" customFormat="1" ht="27.75" thickBot="1" x14ac:dyDescent="0.3">
      <c r="A40" s="752" t="s">
        <v>148</v>
      </c>
      <c r="B40" s="852">
        <f t="shared" ref="B40:H40" si="14">B32+B34</f>
        <v>10749</v>
      </c>
      <c r="C40" s="852">
        <f t="shared" si="14"/>
        <v>19793</v>
      </c>
      <c r="D40" s="756">
        <f t="shared" si="14"/>
        <v>-73016.12999999999</v>
      </c>
      <c r="E40" s="808">
        <f t="shared" si="14"/>
        <v>-82110</v>
      </c>
      <c r="F40" s="756">
        <f t="shared" si="14"/>
        <v>-139304.54999999999</v>
      </c>
      <c r="G40" s="754">
        <f t="shared" si="14"/>
        <v>-148039</v>
      </c>
      <c r="H40" s="819">
        <f t="shared" si="14"/>
        <v>916028.46</v>
      </c>
      <c r="I40" s="808">
        <v>907220</v>
      </c>
      <c r="J40" s="756">
        <f>J32+J34+J38</f>
        <v>-294569.87</v>
      </c>
      <c r="K40" s="808">
        <f t="shared" ref="K40:V40" si="15">K32+K34</f>
        <v>-331518</v>
      </c>
      <c r="L40" s="756">
        <f t="shared" si="15"/>
        <v>11029.05</v>
      </c>
      <c r="M40" s="808">
        <f t="shared" si="15"/>
        <v>18638</v>
      </c>
      <c r="N40" s="756">
        <f>N32+N34</f>
        <v>-21518</v>
      </c>
      <c r="O40" s="808">
        <f t="shared" si="15"/>
        <v>-18592</v>
      </c>
      <c r="P40" s="756">
        <f t="shared" si="15"/>
        <v>-167973.74</v>
      </c>
      <c r="Q40" s="808">
        <f>Q32+Q34+Q38</f>
        <v>-191028</v>
      </c>
      <c r="R40" s="756">
        <f t="shared" si="15"/>
        <v>-72736</v>
      </c>
      <c r="S40" s="808">
        <f t="shared" si="15"/>
        <v>-66924</v>
      </c>
      <c r="T40" s="756">
        <f t="shared" si="15"/>
        <v>-200468.19</v>
      </c>
      <c r="U40" s="808">
        <f t="shared" si="15"/>
        <v>-221463</v>
      </c>
      <c r="V40" s="819">
        <f t="shared" si="15"/>
        <v>623175.17999999993</v>
      </c>
      <c r="W40" s="808">
        <f>W32+W34+W36</f>
        <v>673467</v>
      </c>
      <c r="X40" s="819">
        <v>312802.59999999998</v>
      </c>
      <c r="Y40" s="808">
        <f>415002</f>
        <v>415002</v>
      </c>
      <c r="Z40" s="819">
        <v>14477.3</v>
      </c>
      <c r="AA40" s="808">
        <f>AA32+AA34</f>
        <v>23818</v>
      </c>
      <c r="AB40" s="819">
        <f>AB32+AB34</f>
        <v>-31343.809999999998</v>
      </c>
      <c r="AC40" s="808">
        <f>AC32+AC34</f>
        <v>-49253</v>
      </c>
      <c r="AD40" s="756">
        <v>312700</v>
      </c>
      <c r="AE40" s="754">
        <v>395974</v>
      </c>
      <c r="AF40" s="819">
        <v>73600.3</v>
      </c>
      <c r="AG40" s="808">
        <f>AG32+AG34</f>
        <v>111981</v>
      </c>
      <c r="AH40" s="756">
        <f>AH32+AH34</f>
        <v>-74598.25</v>
      </c>
      <c r="AI40" s="838">
        <f>AI32+AI34</f>
        <v>-65218</v>
      </c>
      <c r="AJ40" s="756">
        <f t="shared" ref="AJ40:AO40" si="16">AJ32+AJ34</f>
        <v>-19695.849999999999</v>
      </c>
      <c r="AK40" s="808">
        <f t="shared" si="16"/>
        <v>-5710</v>
      </c>
      <c r="AL40" s="756">
        <f t="shared" si="16"/>
        <v>0</v>
      </c>
      <c r="AM40" s="808">
        <f t="shared" si="16"/>
        <v>0</v>
      </c>
      <c r="AN40" s="819">
        <f t="shared" si="16"/>
        <v>931132.15</v>
      </c>
      <c r="AO40" s="808">
        <f t="shared" si="16"/>
        <v>1065693</v>
      </c>
      <c r="AP40" s="819">
        <v>52552.1</v>
      </c>
      <c r="AQ40" s="808">
        <f>AQ32+AQ34</f>
        <v>51662.71</v>
      </c>
      <c r="AR40" s="819">
        <f>AR32+AR34</f>
        <v>8606.44</v>
      </c>
      <c r="AS40" s="808">
        <f>AS32+AS34</f>
        <v>17627</v>
      </c>
      <c r="AT40" s="756">
        <f>AT32+AT34</f>
        <v>7270.3299999999981</v>
      </c>
      <c r="AU40" s="808">
        <f>AU32+AU34</f>
        <v>1381</v>
      </c>
      <c r="AV40" s="755">
        <f>SUM(B40+D40+F40+H40+J40+L40+N40+P40+R40+T40+V40+X40+Z40+AB40+AD40+AF40+AH40+AJ40+AL40+AN40+AP40+AR40+AT40)</f>
        <v>2178898.52</v>
      </c>
      <c r="AW40" s="801">
        <f>SUM(C40+E40+G40+I40+K40+M40+O40+Q40+S40+U40+W40+Y40+AA40+AC40+AE40+AG40+AI40+AK40+AM40+AO40+AQ40+AS40+AU40)</f>
        <v>2522401.71</v>
      </c>
      <c r="AX40" s="756">
        <v>0</v>
      </c>
      <c r="AY40" s="753">
        <v>469722</v>
      </c>
      <c r="AZ40" s="756">
        <f>AZ32+AZ34</f>
        <v>36795765.410000011</v>
      </c>
      <c r="BA40" s="754">
        <f>BA32+BA34</f>
        <v>3044730.6100000003</v>
      </c>
    </row>
    <row r="41" spans="1:53" s="45" customFormat="1" ht="28.5" x14ac:dyDescent="0.3">
      <c r="A41" s="276" t="s">
        <v>149</v>
      </c>
      <c r="B41" s="711"/>
      <c r="C41" s="711"/>
      <c r="D41" s="280"/>
      <c r="E41" s="809"/>
      <c r="F41" s="280"/>
      <c r="G41" s="265"/>
      <c r="H41" s="280"/>
      <c r="I41" s="809"/>
      <c r="J41" s="280"/>
      <c r="K41" s="809"/>
      <c r="L41" s="280"/>
      <c r="M41" s="809"/>
      <c r="N41" s="280"/>
      <c r="O41" s="809"/>
      <c r="P41" s="850">
        <v>-1.62</v>
      </c>
      <c r="Q41" s="277"/>
      <c r="R41" s="280"/>
      <c r="S41" s="809"/>
      <c r="T41" s="280"/>
      <c r="U41" s="809"/>
      <c r="V41" s="280"/>
      <c r="W41" s="809"/>
      <c r="X41" s="280"/>
      <c r="Y41" s="809"/>
      <c r="Z41" s="848"/>
      <c r="AA41" s="845"/>
      <c r="AB41" s="280"/>
      <c r="AC41" s="809"/>
      <c r="AD41" s="280"/>
      <c r="AE41" s="265"/>
      <c r="AF41" s="280"/>
      <c r="AG41" s="809"/>
      <c r="AH41" s="280"/>
      <c r="AI41" s="809"/>
      <c r="AJ41" s="280"/>
      <c r="AK41" s="809"/>
      <c r="AL41" s="288"/>
      <c r="AM41" s="809"/>
      <c r="AN41" s="278"/>
      <c r="AO41" s="828"/>
      <c r="AP41" s="830"/>
      <c r="AQ41" s="817"/>
      <c r="AR41" s="820"/>
      <c r="AS41" s="813"/>
      <c r="AT41" s="280"/>
      <c r="AU41" s="809"/>
      <c r="AV41" s="263"/>
      <c r="AW41" s="802"/>
      <c r="AX41" s="280"/>
      <c r="AY41" s="264"/>
      <c r="AZ41" s="263"/>
      <c r="BA41" s="279"/>
    </row>
    <row r="42" spans="1:53" x14ac:dyDescent="0.3">
      <c r="A42" s="254" t="s">
        <v>150</v>
      </c>
      <c r="B42" s="317"/>
      <c r="C42" s="317"/>
      <c r="D42" s="17"/>
      <c r="E42" s="804"/>
      <c r="F42" s="17"/>
      <c r="G42" s="19"/>
      <c r="H42" s="17"/>
      <c r="I42" s="804"/>
      <c r="J42" s="17"/>
      <c r="K42" s="804"/>
      <c r="L42" s="17"/>
      <c r="M42" s="804"/>
      <c r="N42" s="17"/>
      <c r="O42" s="804"/>
      <c r="P42" s="17"/>
      <c r="Q42" s="804"/>
      <c r="R42" s="17"/>
      <c r="S42" s="804"/>
      <c r="T42" s="17"/>
      <c r="U42" s="804"/>
      <c r="V42" s="17">
        <v>10</v>
      </c>
      <c r="W42" s="804"/>
      <c r="X42" s="17">
        <v>10</v>
      </c>
      <c r="Y42" s="804">
        <v>10</v>
      </c>
      <c r="Z42" s="47"/>
      <c r="AA42" s="842"/>
      <c r="AB42" s="1"/>
      <c r="AC42" s="197"/>
      <c r="AD42" s="17">
        <v>10</v>
      </c>
      <c r="AE42" s="19">
        <v>10</v>
      </c>
      <c r="AF42" s="17"/>
      <c r="AG42" s="804"/>
      <c r="AH42" s="17"/>
      <c r="AI42" s="804"/>
      <c r="AJ42" s="17"/>
      <c r="AK42" s="804"/>
      <c r="AL42" s="835"/>
      <c r="AM42" s="804"/>
      <c r="AN42" s="257"/>
      <c r="AO42" s="824"/>
      <c r="AP42" s="829"/>
      <c r="AQ42" s="356"/>
      <c r="AR42" s="274"/>
      <c r="AS42" s="261"/>
      <c r="AT42" s="17"/>
      <c r="AU42" s="804"/>
      <c r="AV42" s="25"/>
      <c r="AW42" s="724"/>
      <c r="AX42" s="17"/>
      <c r="AY42" s="16"/>
      <c r="AZ42" s="25"/>
      <c r="BA42" s="28"/>
    </row>
    <row r="43" spans="1:53" x14ac:dyDescent="0.3">
      <c r="A43" s="255" t="s">
        <v>151</v>
      </c>
      <c r="B43" s="853">
        <v>0.13</v>
      </c>
      <c r="C43" s="853"/>
      <c r="D43" s="17"/>
      <c r="E43" s="804"/>
      <c r="F43" s="1">
        <v>-0.02</v>
      </c>
      <c r="G43" s="3">
        <v>-0.03</v>
      </c>
      <c r="H43" s="17"/>
      <c r="I43" s="804"/>
      <c r="J43" s="1">
        <v>-0.27</v>
      </c>
      <c r="K43" s="197">
        <v>-0.32</v>
      </c>
      <c r="L43" s="17"/>
      <c r="M43" s="804"/>
      <c r="N43" s="17"/>
      <c r="O43" s="804"/>
      <c r="P43" s="1"/>
      <c r="Q43" s="197"/>
      <c r="R43" s="17"/>
      <c r="S43" s="804"/>
      <c r="T43" s="17"/>
      <c r="U43" s="804"/>
      <c r="V43" s="1">
        <v>1.5</v>
      </c>
      <c r="W43" s="197"/>
      <c r="X43" s="1">
        <v>-1.29</v>
      </c>
      <c r="Y43" s="197"/>
      <c r="Z43" s="198">
        <v>0.13</v>
      </c>
      <c r="AA43" s="939">
        <v>0.12</v>
      </c>
      <c r="AB43" s="1">
        <v>-2.1800000000000002</v>
      </c>
      <c r="AC43" s="197">
        <v>-0.63</v>
      </c>
      <c r="AD43" s="1">
        <v>-5.38</v>
      </c>
      <c r="AE43" s="3">
        <v>4.8499999999999996</v>
      </c>
      <c r="AF43" s="17"/>
      <c r="AG43" s="804"/>
      <c r="AH43" s="17"/>
      <c r="AI43" s="804"/>
      <c r="AJ43" s="17"/>
      <c r="AK43" s="804"/>
      <c r="AL43" s="835"/>
      <c r="AM43" s="804"/>
      <c r="AN43" s="974">
        <v>2.23</v>
      </c>
      <c r="AO43" s="975">
        <v>2.63</v>
      </c>
      <c r="AP43" s="829"/>
      <c r="AQ43" s="356"/>
      <c r="AR43" s="821">
        <v>-4.1500000000000004</v>
      </c>
      <c r="AS43" s="814"/>
      <c r="AT43" s="17"/>
      <c r="AU43" s="804"/>
      <c r="AV43" s="25"/>
      <c r="AW43" s="724"/>
      <c r="AX43" s="17"/>
      <c r="AY43" s="16"/>
      <c r="AZ43" s="25"/>
      <c r="BA43" s="28"/>
    </row>
    <row r="44" spans="1:53" ht="15" thickBot="1" x14ac:dyDescent="0.35">
      <c r="A44" s="256" t="s">
        <v>152</v>
      </c>
      <c r="B44" s="1011">
        <v>1.2999999999999999E-2</v>
      </c>
      <c r="C44" s="1011"/>
      <c r="D44" s="50"/>
      <c r="E44" s="803"/>
      <c r="F44" s="849">
        <v>-0.02</v>
      </c>
      <c r="G44" s="1010">
        <v>-0.03</v>
      </c>
      <c r="H44" s="50"/>
      <c r="I44" s="803"/>
      <c r="J44" s="849">
        <v>-0.27</v>
      </c>
      <c r="K44" s="846">
        <v>-0.32</v>
      </c>
      <c r="L44" s="50"/>
      <c r="M44" s="803"/>
      <c r="N44" s="50"/>
      <c r="O44" s="803"/>
      <c r="P44" s="50"/>
      <c r="Q44" s="803"/>
      <c r="R44" s="50"/>
      <c r="S44" s="803"/>
      <c r="T44" s="50"/>
      <c r="U44" s="803"/>
      <c r="V44" s="849">
        <v>1.49</v>
      </c>
      <c r="W44" s="846"/>
      <c r="X44" s="849">
        <v>-1.29</v>
      </c>
      <c r="Y44" s="846"/>
      <c r="Z44" s="1016">
        <v>0.13</v>
      </c>
      <c r="AA44" s="1017">
        <v>0.12</v>
      </c>
      <c r="AB44" s="849">
        <v>-2.1800000000000002</v>
      </c>
      <c r="AC44" s="846">
        <v>-0.63</v>
      </c>
      <c r="AD44" s="972">
        <v>-5.38</v>
      </c>
      <c r="AE44" s="973">
        <v>4.8499999999999996</v>
      </c>
      <c r="AF44" s="50"/>
      <c r="AG44" s="803"/>
      <c r="AH44" s="50"/>
      <c r="AI44" s="803"/>
      <c r="AJ44" s="50"/>
      <c r="AK44" s="803"/>
      <c r="AL44" s="837"/>
      <c r="AM44" s="834"/>
      <c r="AN44" s="976">
        <v>2.23</v>
      </c>
      <c r="AO44" s="977">
        <v>2.63</v>
      </c>
      <c r="AP44" s="831"/>
      <c r="AQ44" s="818"/>
      <c r="AR44" s="822">
        <v>-4.1500000000000004</v>
      </c>
      <c r="AS44" s="815"/>
      <c r="AT44" s="50"/>
      <c r="AU44" s="803"/>
      <c r="AV44" s="50"/>
      <c r="AW44" s="803"/>
      <c r="AX44" s="50"/>
      <c r="AY44" s="48"/>
      <c r="AZ44" s="50"/>
      <c r="BA44" s="49"/>
    </row>
  </sheetData>
  <mergeCells count="29">
    <mergeCell ref="A1:BA1"/>
    <mergeCell ref="A2:BA2"/>
    <mergeCell ref="A3:A4"/>
    <mergeCell ref="D3:E3"/>
    <mergeCell ref="F3:G3"/>
    <mergeCell ref="H3:I3"/>
    <mergeCell ref="L3:M3"/>
    <mergeCell ref="AZ3:BA3"/>
    <mergeCell ref="AX3:AY3"/>
    <mergeCell ref="AV3:AW3"/>
    <mergeCell ref="AT3:AU3"/>
    <mergeCell ref="AD3:AE3"/>
    <mergeCell ref="AF3:AG3"/>
    <mergeCell ref="AH3:AI3"/>
    <mergeCell ref="AP3:AQ3"/>
    <mergeCell ref="AR3:AS3"/>
    <mergeCell ref="B3:C3"/>
    <mergeCell ref="AN3:AO3"/>
    <mergeCell ref="P3:Q3"/>
    <mergeCell ref="X3:Y3"/>
    <mergeCell ref="V3:W3"/>
    <mergeCell ref="J3:K3"/>
    <mergeCell ref="N3:O3"/>
    <mergeCell ref="AJ3:AK3"/>
    <mergeCell ref="AL3:AM3"/>
    <mergeCell ref="R3:S3"/>
    <mergeCell ref="T3:U3"/>
    <mergeCell ref="AB3:AC3"/>
    <mergeCell ref="Z3:AA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BA67"/>
  <sheetViews>
    <sheetView workbookViewId="0">
      <pane xSplit="1" topLeftCell="B1" activePane="topRight" state="frozen"/>
      <selection pane="topRight"/>
    </sheetView>
  </sheetViews>
  <sheetFormatPr defaultRowHeight="15" x14ac:dyDescent="0.3"/>
  <cols>
    <col min="1" max="1" width="41" style="398" customWidth="1"/>
    <col min="2" max="2" width="9.85546875" style="403" customWidth="1"/>
    <col min="3" max="3" width="11" style="403" customWidth="1"/>
    <col min="4" max="4" width="13.42578125" style="403" customWidth="1"/>
    <col min="5" max="5" width="11.42578125" style="403" customWidth="1"/>
    <col min="6" max="6" width="13.42578125" style="403" customWidth="1"/>
    <col min="7" max="7" width="14.140625" style="403" customWidth="1"/>
    <col min="8" max="8" width="11.85546875" style="403" customWidth="1"/>
    <col min="9" max="9" width="14.7109375" style="403" customWidth="1"/>
    <col min="10" max="10" width="13.28515625" style="403" customWidth="1"/>
    <col min="11" max="11" width="13.7109375" style="403" customWidth="1"/>
    <col min="12" max="13" width="16" style="403" customWidth="1"/>
    <col min="14" max="14" width="10.5703125" style="403" customWidth="1"/>
    <col min="15" max="15" width="11" style="403" customWidth="1"/>
    <col min="16" max="16" width="12.28515625" style="403" customWidth="1"/>
    <col min="17" max="17" width="12.85546875" style="403" customWidth="1"/>
    <col min="18" max="18" width="11" style="403" customWidth="1"/>
    <col min="19" max="19" width="11.7109375" style="403" customWidth="1"/>
    <col min="20" max="20" width="12" style="403" customWidth="1"/>
    <col min="21" max="21" width="10.5703125" style="403" customWidth="1"/>
    <col min="22" max="22" width="14" style="403" customWidth="1"/>
    <col min="23" max="23" width="13.28515625" style="403" customWidth="1"/>
    <col min="24" max="24" width="11.7109375" style="403" customWidth="1"/>
    <col min="25" max="25" width="13" style="403" customWidth="1"/>
    <col min="26" max="26" width="11.7109375" style="403" customWidth="1"/>
    <col min="27" max="28" width="12" style="403" customWidth="1"/>
    <col min="29" max="29" width="11.85546875" style="403" customWidth="1"/>
    <col min="30" max="30" width="11.42578125" style="403" customWidth="1"/>
    <col min="31" max="31" width="13.85546875" style="403" customWidth="1"/>
    <col min="32" max="32" width="11.85546875" style="403" customWidth="1"/>
    <col min="33" max="33" width="12" style="403" customWidth="1"/>
    <col min="34" max="34" width="10.85546875" style="403" customWidth="1"/>
    <col min="35" max="35" width="12.85546875" style="403" customWidth="1"/>
    <col min="36" max="36" width="11.28515625" style="403" customWidth="1"/>
    <col min="37" max="37" width="13" style="403" customWidth="1"/>
    <col min="38" max="39" width="15.7109375" style="403" customWidth="1"/>
    <col min="40" max="40" width="12.85546875" style="403" customWidth="1"/>
    <col min="41" max="41" width="11.7109375" style="403" customWidth="1"/>
    <col min="42" max="42" width="10.28515625" style="403" customWidth="1"/>
    <col min="43" max="43" width="11.140625" style="403" customWidth="1"/>
    <col min="44" max="44" width="11.5703125" style="403" customWidth="1"/>
    <col min="45" max="45" width="9.85546875" style="403" customWidth="1"/>
    <col min="46" max="46" width="11" style="403" customWidth="1"/>
    <col min="47" max="47" width="12.5703125" style="403" customWidth="1"/>
    <col min="48" max="49" width="14.42578125" style="403" customWidth="1"/>
    <col min="50" max="50" width="11.7109375" style="403" customWidth="1"/>
    <col min="51" max="51" width="12" style="403" customWidth="1"/>
    <col min="52" max="53" width="13.7109375" style="403" customWidth="1"/>
    <col min="54" max="16384" width="9.140625" style="403"/>
  </cols>
  <sheetData>
    <row r="1" spans="1:53" ht="65.25" customHeight="1" thickBot="1" x14ac:dyDescent="0.35">
      <c r="A1" s="73" t="s">
        <v>416</v>
      </c>
      <c r="B1" s="1324" t="s">
        <v>159</v>
      </c>
      <c r="C1" s="1325"/>
      <c r="D1" s="1314" t="s">
        <v>267</v>
      </c>
      <c r="E1" s="1315"/>
      <c r="F1" s="1321" t="s">
        <v>161</v>
      </c>
      <c r="G1" s="1315"/>
      <c r="H1" s="1321" t="s">
        <v>162</v>
      </c>
      <c r="I1" s="1315"/>
      <c r="J1" s="1321" t="s">
        <v>261</v>
      </c>
      <c r="K1" s="1315"/>
      <c r="L1" s="1314" t="s">
        <v>164</v>
      </c>
      <c r="M1" s="1315"/>
      <c r="N1" s="1314" t="s">
        <v>315</v>
      </c>
      <c r="O1" s="1315"/>
      <c r="P1" s="1321" t="s">
        <v>181</v>
      </c>
      <c r="Q1" s="1321"/>
      <c r="R1" s="1314" t="s">
        <v>266</v>
      </c>
      <c r="S1" s="1315"/>
      <c r="T1" s="1314" t="s">
        <v>264</v>
      </c>
      <c r="U1" s="1315"/>
      <c r="V1" s="1321" t="s">
        <v>265</v>
      </c>
      <c r="W1" s="1315"/>
      <c r="X1" s="1321" t="s">
        <v>263</v>
      </c>
      <c r="Y1" s="1315"/>
      <c r="Z1" s="1321" t="s">
        <v>326</v>
      </c>
      <c r="AA1" s="1321"/>
      <c r="AB1" s="1314" t="s">
        <v>170</v>
      </c>
      <c r="AC1" s="1315"/>
      <c r="AD1" s="1316" t="s">
        <v>171</v>
      </c>
      <c r="AE1" s="1317"/>
      <c r="AF1" s="1314" t="s">
        <v>172</v>
      </c>
      <c r="AG1" s="1315"/>
      <c r="AH1" s="1314" t="s">
        <v>255</v>
      </c>
      <c r="AI1" s="1315"/>
      <c r="AJ1" s="1314" t="s">
        <v>174</v>
      </c>
      <c r="AK1" s="1315"/>
      <c r="AL1" s="1320" t="s">
        <v>175</v>
      </c>
      <c r="AM1" s="1320"/>
      <c r="AN1" s="1314" t="s">
        <v>176</v>
      </c>
      <c r="AO1" s="1315"/>
      <c r="AP1" s="1314" t="s">
        <v>177</v>
      </c>
      <c r="AQ1" s="1315"/>
      <c r="AR1" s="1321" t="s">
        <v>262</v>
      </c>
      <c r="AS1" s="1321"/>
      <c r="AT1" s="1314" t="s">
        <v>179</v>
      </c>
      <c r="AU1" s="1315"/>
      <c r="AV1" s="1322" t="s">
        <v>1</v>
      </c>
      <c r="AW1" s="1323"/>
      <c r="AX1" s="1316" t="s">
        <v>180</v>
      </c>
      <c r="AY1" s="1317"/>
      <c r="AZ1" s="1318" t="s">
        <v>2</v>
      </c>
      <c r="BA1" s="1319"/>
    </row>
    <row r="2" spans="1:53" ht="69" customHeight="1" thickBot="1" x14ac:dyDescent="0.35">
      <c r="A2" s="1203" t="s">
        <v>0</v>
      </c>
      <c r="B2" s="1131" t="s">
        <v>322</v>
      </c>
      <c r="C2" s="1132" t="s">
        <v>384</v>
      </c>
      <c r="D2" s="1131" t="s">
        <v>322</v>
      </c>
      <c r="E2" s="1132" t="s">
        <v>384</v>
      </c>
      <c r="F2" s="1131" t="s">
        <v>322</v>
      </c>
      <c r="G2" s="1132" t="s">
        <v>384</v>
      </c>
      <c r="H2" s="1131" t="s">
        <v>322</v>
      </c>
      <c r="I2" s="1132" t="s">
        <v>384</v>
      </c>
      <c r="J2" s="1131" t="s">
        <v>322</v>
      </c>
      <c r="K2" s="1132" t="s">
        <v>384</v>
      </c>
      <c r="L2" s="1131" t="s">
        <v>322</v>
      </c>
      <c r="M2" s="1132" t="s">
        <v>384</v>
      </c>
      <c r="N2" s="1131" t="s">
        <v>322</v>
      </c>
      <c r="O2" s="1132" t="s">
        <v>384</v>
      </c>
      <c r="P2" s="1131" t="s">
        <v>322</v>
      </c>
      <c r="Q2" s="1131" t="s">
        <v>384</v>
      </c>
      <c r="R2" s="1131" t="s">
        <v>322</v>
      </c>
      <c r="S2" s="1132" t="s">
        <v>384</v>
      </c>
      <c r="T2" s="1131" t="s">
        <v>322</v>
      </c>
      <c r="U2" s="1132" t="s">
        <v>384</v>
      </c>
      <c r="V2" s="1131" t="s">
        <v>322</v>
      </c>
      <c r="W2" s="1132" t="s">
        <v>384</v>
      </c>
      <c r="X2" s="1131" t="s">
        <v>322</v>
      </c>
      <c r="Y2" s="1132" t="s">
        <v>384</v>
      </c>
      <c r="Z2" s="1131" t="s">
        <v>322</v>
      </c>
      <c r="AA2" s="1132" t="s">
        <v>384</v>
      </c>
      <c r="AB2" s="1131" t="s">
        <v>322</v>
      </c>
      <c r="AC2" s="1131" t="s">
        <v>384</v>
      </c>
      <c r="AD2" s="1131" t="s">
        <v>322</v>
      </c>
      <c r="AE2" s="1132" t="s">
        <v>384</v>
      </c>
      <c r="AF2" s="1131" t="s">
        <v>322</v>
      </c>
      <c r="AG2" s="1132" t="s">
        <v>384</v>
      </c>
      <c r="AH2" s="1131" t="s">
        <v>322</v>
      </c>
      <c r="AI2" s="1132" t="s">
        <v>384</v>
      </c>
      <c r="AJ2" s="1131" t="s">
        <v>322</v>
      </c>
      <c r="AK2" s="1132" t="s">
        <v>384</v>
      </c>
      <c r="AL2" s="1131" t="s">
        <v>322</v>
      </c>
      <c r="AM2" s="1132" t="s">
        <v>384</v>
      </c>
      <c r="AN2" s="1131" t="s">
        <v>322</v>
      </c>
      <c r="AO2" s="1131" t="s">
        <v>384</v>
      </c>
      <c r="AP2" s="1131" t="s">
        <v>322</v>
      </c>
      <c r="AQ2" s="1132" t="s">
        <v>384</v>
      </c>
      <c r="AR2" s="1131" t="s">
        <v>322</v>
      </c>
      <c r="AS2" s="1132" t="s">
        <v>384</v>
      </c>
      <c r="AT2" s="1131" t="s">
        <v>322</v>
      </c>
      <c r="AU2" s="1132" t="s">
        <v>384</v>
      </c>
      <c r="AV2" s="1131" t="s">
        <v>322</v>
      </c>
      <c r="AW2" s="1132" t="s">
        <v>384</v>
      </c>
      <c r="AX2" s="1131" t="s">
        <v>322</v>
      </c>
      <c r="AY2" s="1132" t="s">
        <v>384</v>
      </c>
      <c r="AZ2" s="1131" t="s">
        <v>322</v>
      </c>
      <c r="BA2" s="1132" t="s">
        <v>384</v>
      </c>
    </row>
    <row r="3" spans="1:53" x14ac:dyDescent="0.3">
      <c r="A3" s="1204" t="s">
        <v>269</v>
      </c>
      <c r="B3" s="1133"/>
      <c r="C3" s="1134"/>
      <c r="D3" s="1135"/>
      <c r="E3" s="1134"/>
      <c r="F3" s="1135"/>
      <c r="G3" s="1134"/>
      <c r="H3" s="1135"/>
      <c r="I3" s="1134"/>
      <c r="J3" s="1135"/>
      <c r="K3" s="1134"/>
      <c r="L3" s="1135"/>
      <c r="M3" s="1136"/>
      <c r="N3" s="1133"/>
      <c r="O3" s="1136"/>
      <c r="P3" s="1133"/>
      <c r="Q3" s="1136"/>
      <c r="R3" s="1133"/>
      <c r="S3" s="1136"/>
      <c r="T3" s="1133"/>
      <c r="U3" s="1136"/>
      <c r="V3" s="1133"/>
      <c r="W3" s="1136"/>
      <c r="X3" s="1133"/>
      <c r="Y3" s="1134"/>
      <c r="Z3" s="1135"/>
      <c r="AA3" s="1134"/>
      <c r="AB3" s="1135"/>
      <c r="AC3" s="1136"/>
      <c r="AD3" s="1133"/>
      <c r="AE3" s="1134"/>
      <c r="AF3" s="1135"/>
      <c r="AG3" s="1134"/>
      <c r="AH3" s="1135"/>
      <c r="AI3" s="1136"/>
      <c r="AJ3" s="1133"/>
      <c r="AK3" s="1134"/>
      <c r="AL3" s="1135"/>
      <c r="AM3" s="1134"/>
      <c r="AN3" s="1135"/>
      <c r="AO3" s="1134"/>
      <c r="AP3" s="1135"/>
      <c r="AQ3" s="1134"/>
      <c r="AR3" s="1135"/>
      <c r="AS3" s="1134"/>
      <c r="AT3" s="1135"/>
      <c r="AU3" s="1134"/>
      <c r="AV3" s="1135"/>
      <c r="AW3" s="1134"/>
      <c r="AX3" s="1135"/>
      <c r="AY3" s="1134"/>
      <c r="AZ3" s="1135"/>
      <c r="BA3" s="1136"/>
    </row>
    <row r="4" spans="1:53" x14ac:dyDescent="0.3">
      <c r="A4" s="399" t="s">
        <v>270</v>
      </c>
      <c r="B4" s="1137"/>
      <c r="C4" s="1138"/>
      <c r="D4" s="1139"/>
      <c r="E4" s="1138"/>
      <c r="F4" s="1139"/>
      <c r="G4" s="1138"/>
      <c r="H4" s="1139"/>
      <c r="I4" s="1138"/>
      <c r="J4" s="1139"/>
      <c r="K4" s="1138"/>
      <c r="L4" s="1139"/>
      <c r="M4" s="1140"/>
      <c r="N4" s="1137"/>
      <c r="O4" s="1140"/>
      <c r="P4" s="1137"/>
      <c r="Q4" s="1140"/>
      <c r="R4" s="1137"/>
      <c r="S4" s="1140"/>
      <c r="T4" s="1137"/>
      <c r="U4" s="1140"/>
      <c r="V4" s="1137"/>
      <c r="W4" s="1140"/>
      <c r="X4" s="1137"/>
      <c r="Y4" s="1138"/>
      <c r="Z4" s="1139"/>
      <c r="AA4" s="1138"/>
      <c r="AB4" s="1139"/>
      <c r="AC4" s="1140"/>
      <c r="AD4" s="1137"/>
      <c r="AE4" s="1138"/>
      <c r="AF4" s="1139"/>
      <c r="AG4" s="1138"/>
      <c r="AH4" s="1139"/>
      <c r="AI4" s="1140"/>
      <c r="AJ4" s="1137"/>
      <c r="AK4" s="1138"/>
      <c r="AL4" s="1139"/>
      <c r="AM4" s="1138"/>
      <c r="AN4" s="1139"/>
      <c r="AO4" s="1138"/>
      <c r="AP4" s="1139"/>
      <c r="AQ4" s="1138"/>
      <c r="AR4" s="1139"/>
      <c r="AS4" s="1138"/>
      <c r="AT4" s="1139"/>
      <c r="AU4" s="1138"/>
      <c r="AV4" s="1139"/>
      <c r="AW4" s="1138"/>
      <c r="AX4" s="1139"/>
      <c r="AY4" s="1138"/>
      <c r="AZ4" s="1139"/>
      <c r="BA4" s="1140"/>
    </row>
    <row r="5" spans="1:53" x14ac:dyDescent="0.3">
      <c r="A5" s="399" t="s">
        <v>399</v>
      </c>
      <c r="B5" s="1141">
        <f>C5</f>
        <v>190121</v>
      </c>
      <c r="C5" s="1142">
        <v>190121</v>
      </c>
      <c r="D5" s="1139">
        <v>147008.88</v>
      </c>
      <c r="E5" s="1138">
        <v>147773</v>
      </c>
      <c r="F5" s="1139">
        <f>G5</f>
        <v>200490</v>
      </c>
      <c r="G5" s="1138">
        <v>200490</v>
      </c>
      <c r="H5" s="1139">
        <v>15070.9</v>
      </c>
      <c r="I5" s="1138">
        <v>15071</v>
      </c>
      <c r="J5" s="1139">
        <v>316620.09999999998</v>
      </c>
      <c r="K5" s="1138">
        <v>355120</v>
      </c>
      <c r="L5" s="1139">
        <v>95000</v>
      </c>
      <c r="M5" s="1140">
        <v>95000</v>
      </c>
      <c r="N5" s="1137">
        <v>37406</v>
      </c>
      <c r="O5" s="1140">
        <v>37406</v>
      </c>
      <c r="P5" s="1137">
        <v>31262</v>
      </c>
      <c r="Q5" s="1140">
        <v>64555</v>
      </c>
      <c r="R5" s="1137">
        <v>185000</v>
      </c>
      <c r="S5" s="1140">
        <v>185000</v>
      </c>
      <c r="T5" s="1137">
        <v>196582.1</v>
      </c>
      <c r="U5" s="1140">
        <v>229582</v>
      </c>
      <c r="V5" s="1137">
        <v>202214.03</v>
      </c>
      <c r="W5" s="1140">
        <v>211317</v>
      </c>
      <c r="X5" s="1137">
        <v>143658.85999999999</v>
      </c>
      <c r="Y5" s="1138">
        <v>143748</v>
      </c>
      <c r="Z5" s="1139">
        <v>80000</v>
      </c>
      <c r="AA5" s="1138">
        <v>80000</v>
      </c>
      <c r="AB5" s="1139">
        <v>66346.149999999994</v>
      </c>
      <c r="AC5" s="1140">
        <v>66346.149999999994</v>
      </c>
      <c r="AD5" s="1137">
        <v>51029.02</v>
      </c>
      <c r="AE5" s="1138">
        <v>51029</v>
      </c>
      <c r="AF5" s="1139">
        <v>191881</v>
      </c>
      <c r="AG5" s="1138">
        <v>191881</v>
      </c>
      <c r="AH5" s="1139">
        <v>201288.43</v>
      </c>
      <c r="AI5" s="1140">
        <v>201288</v>
      </c>
      <c r="AJ5" s="1137">
        <v>119632.35</v>
      </c>
      <c r="AK5" s="1138">
        <v>119632</v>
      </c>
      <c r="AL5" s="1139"/>
      <c r="AM5" s="1138"/>
      <c r="AN5" s="1139">
        <v>100014.54</v>
      </c>
      <c r="AO5" s="1138">
        <v>100048</v>
      </c>
      <c r="AP5" s="1139">
        <v>17651.38</v>
      </c>
      <c r="AQ5" s="1138">
        <v>17765</v>
      </c>
      <c r="AR5" s="1139">
        <v>25896.41</v>
      </c>
      <c r="AS5" s="1138">
        <v>25896</v>
      </c>
      <c r="AT5" s="1139">
        <v>195350</v>
      </c>
      <c r="AU5" s="1138">
        <v>195350</v>
      </c>
      <c r="AV5" s="1139">
        <f t="shared" ref="AV5:AW67" si="0">B5+D5+F5+H5+J5+L5+N5+P5+R5+T5+V5+X5+Z5+AB5+AD5+AF5+AH5+AJ5+AL5+AN5+AP5+AR5+AT5</f>
        <v>2809523.1500000004</v>
      </c>
      <c r="AW5" s="1138">
        <f t="shared" si="0"/>
        <v>2924418.15</v>
      </c>
      <c r="AX5" s="1139">
        <v>10000</v>
      </c>
      <c r="AY5" s="1138">
        <v>632499</v>
      </c>
      <c r="AZ5" s="1139">
        <f>AV5+AX5</f>
        <v>2819523.1500000004</v>
      </c>
      <c r="BA5" s="1140">
        <f>AW5+AY5</f>
        <v>3556917.15</v>
      </c>
    </row>
    <row r="6" spans="1:53" x14ac:dyDescent="0.3">
      <c r="A6" s="399" t="s">
        <v>306</v>
      </c>
      <c r="B6" s="1141"/>
      <c r="C6" s="1142"/>
      <c r="D6" s="1139"/>
      <c r="E6" s="1138"/>
      <c r="F6" s="1139"/>
      <c r="G6" s="1138"/>
      <c r="H6" s="1139"/>
      <c r="I6" s="1138"/>
      <c r="J6" s="1139"/>
      <c r="K6" s="1138"/>
      <c r="L6" s="1139"/>
      <c r="M6" s="1140"/>
      <c r="N6" s="1137"/>
      <c r="O6" s="1140"/>
      <c r="P6" s="1137"/>
      <c r="Q6" s="1140"/>
      <c r="R6" s="1137"/>
      <c r="S6" s="1140"/>
      <c r="T6" s="1137"/>
      <c r="U6" s="1140"/>
      <c r="V6" s="1137">
        <v>122.32</v>
      </c>
      <c r="W6" s="1140">
        <v>142</v>
      </c>
      <c r="X6" s="1137">
        <v>35.049999999999997</v>
      </c>
      <c r="Y6" s="1138">
        <v>19</v>
      </c>
      <c r="Z6" s="1139"/>
      <c r="AA6" s="1138"/>
      <c r="AB6" s="1139"/>
      <c r="AC6" s="1140"/>
      <c r="AD6" s="1137"/>
      <c r="AE6" s="1138"/>
      <c r="AF6" s="1139"/>
      <c r="AG6" s="1138"/>
      <c r="AH6" s="1139"/>
      <c r="AI6" s="1140"/>
      <c r="AJ6" s="1137"/>
      <c r="AK6" s="1138"/>
      <c r="AL6" s="1139"/>
      <c r="AM6" s="1138"/>
      <c r="AN6" s="1139"/>
      <c r="AO6" s="1138"/>
      <c r="AP6" s="1139"/>
      <c r="AQ6" s="1138"/>
      <c r="AR6" s="1139"/>
      <c r="AS6" s="1138"/>
      <c r="AT6" s="1139"/>
      <c r="AU6" s="1138"/>
      <c r="AV6" s="1139">
        <f t="shared" si="0"/>
        <v>157.37</v>
      </c>
      <c r="AW6" s="1138">
        <f t="shared" si="0"/>
        <v>161</v>
      </c>
      <c r="AX6" s="1139"/>
      <c r="AY6" s="1138"/>
      <c r="AZ6" s="1139">
        <f t="shared" ref="AZ6:BA67" si="1">AV6+AX6</f>
        <v>157.37</v>
      </c>
      <c r="BA6" s="1140">
        <f t="shared" si="1"/>
        <v>161</v>
      </c>
    </row>
    <row r="7" spans="1:53" x14ac:dyDescent="0.3">
      <c r="A7" s="399" t="s">
        <v>400</v>
      </c>
      <c r="B7" s="1141">
        <v>47581.18</v>
      </c>
      <c r="C7" s="1142">
        <v>61677</v>
      </c>
      <c r="D7" s="1139">
        <v>98527.05</v>
      </c>
      <c r="E7" s="1138">
        <v>135593</v>
      </c>
      <c r="F7" s="1139"/>
      <c r="G7" s="1138"/>
      <c r="H7" s="1139">
        <v>1027461.71</v>
      </c>
      <c r="I7" s="1138">
        <v>1018479</v>
      </c>
      <c r="J7" s="1139">
        <v>21670.98</v>
      </c>
      <c r="K7" s="1138">
        <v>21199</v>
      </c>
      <c r="L7" s="1139">
        <v>23529</v>
      </c>
      <c r="M7" s="1140">
        <v>31138</v>
      </c>
      <c r="N7" s="1137">
        <v>83292</v>
      </c>
      <c r="O7" s="1140">
        <v>83292</v>
      </c>
      <c r="P7" s="1137">
        <v>168484.78</v>
      </c>
      <c r="Q7" s="1140">
        <v>171390</v>
      </c>
      <c r="R7" s="1137"/>
      <c r="S7" s="1140"/>
      <c r="T7" s="1137">
        <v>9999.9599999999991</v>
      </c>
      <c r="U7" s="1140">
        <v>10000</v>
      </c>
      <c r="V7" s="1137">
        <v>675449.91</v>
      </c>
      <c r="W7" s="1140">
        <v>1331267</v>
      </c>
      <c r="X7" s="1137">
        <v>660697.39</v>
      </c>
      <c r="Y7" s="1138">
        <v>767063</v>
      </c>
      <c r="Z7" s="1139">
        <v>14477.3</v>
      </c>
      <c r="AA7" s="1138">
        <v>23818</v>
      </c>
      <c r="AB7" s="1139">
        <v>28000</v>
      </c>
      <c r="AC7" s="1140">
        <v>28000</v>
      </c>
      <c r="AD7" s="1137">
        <v>317904.14</v>
      </c>
      <c r="AE7" s="1138">
        <v>401178</v>
      </c>
      <c r="AF7" s="1139">
        <v>96757.02</v>
      </c>
      <c r="AG7" s="1138">
        <v>131645</v>
      </c>
      <c r="AH7" s="1139">
        <v>437.73</v>
      </c>
      <c r="AI7" s="1140">
        <v>430</v>
      </c>
      <c r="AJ7" s="1137">
        <v>30315.919999999998</v>
      </c>
      <c r="AK7" s="1138">
        <v>30316</v>
      </c>
      <c r="AL7" s="1139"/>
      <c r="AM7" s="1138"/>
      <c r="AN7" s="1139">
        <v>932020.76</v>
      </c>
      <c r="AO7" s="1138">
        <v>1068792</v>
      </c>
      <c r="AP7" s="1139">
        <v>52764.03</v>
      </c>
      <c r="AQ7" s="1138">
        <v>52034</v>
      </c>
      <c r="AR7" s="1139">
        <v>35466.58</v>
      </c>
      <c r="AS7" s="1138">
        <v>45738</v>
      </c>
      <c r="AT7" s="1139">
        <v>9866.7000000000007</v>
      </c>
      <c r="AU7" s="1138">
        <v>12127</v>
      </c>
      <c r="AV7" s="1139">
        <f t="shared" si="0"/>
        <v>4334704.1400000006</v>
      </c>
      <c r="AW7" s="1138">
        <f t="shared" si="0"/>
        <v>5425176</v>
      </c>
      <c r="AX7" s="1139">
        <v>622793.65</v>
      </c>
      <c r="AY7" s="1138">
        <v>472598</v>
      </c>
      <c r="AZ7" s="1139">
        <f t="shared" si="1"/>
        <v>4957497.790000001</v>
      </c>
      <c r="BA7" s="1140">
        <f t="shared" si="1"/>
        <v>5897774</v>
      </c>
    </row>
    <row r="8" spans="1:53" x14ac:dyDescent="0.3">
      <c r="A8" s="399" t="s">
        <v>271</v>
      </c>
      <c r="B8" s="1141">
        <v>3218.62</v>
      </c>
      <c r="C8" s="1142">
        <v>4141</v>
      </c>
      <c r="D8" s="1139"/>
      <c r="E8" s="1138"/>
      <c r="F8" s="1139">
        <v>73.73</v>
      </c>
      <c r="G8" s="1138">
        <v>1</v>
      </c>
      <c r="H8" s="1139">
        <v>45145.59</v>
      </c>
      <c r="I8" s="1138">
        <v>18999</v>
      </c>
      <c r="J8" s="1139">
        <v>370.57</v>
      </c>
      <c r="K8" s="1138">
        <v>126</v>
      </c>
      <c r="L8" s="1139">
        <v>-33.450000000000003</v>
      </c>
      <c r="M8" s="1140"/>
      <c r="N8" s="1137">
        <v>535</v>
      </c>
      <c r="O8" s="1140">
        <v>370</v>
      </c>
      <c r="P8" s="1137">
        <v>1069.46</v>
      </c>
      <c r="Q8" s="1140">
        <v>1551</v>
      </c>
      <c r="R8" s="1137">
        <v>9.15</v>
      </c>
      <c r="S8" s="1140"/>
      <c r="T8" s="1137">
        <v>-23.21</v>
      </c>
      <c r="U8" s="1140">
        <v>12</v>
      </c>
      <c r="V8" s="1137">
        <v>17626.57</v>
      </c>
      <c r="W8" s="1140">
        <v>-2672</v>
      </c>
      <c r="X8" s="1137">
        <v>43296</v>
      </c>
      <c r="Y8" s="1138">
        <v>-5935</v>
      </c>
      <c r="Z8" s="1139">
        <v>363.76</v>
      </c>
      <c r="AA8" s="1138">
        <v>41</v>
      </c>
      <c r="AB8" s="1139">
        <v>106</v>
      </c>
      <c r="AC8" s="1140">
        <v>5.12</v>
      </c>
      <c r="AD8" s="1137">
        <v>-19.690000000000001</v>
      </c>
      <c r="AE8" s="1138">
        <v>49</v>
      </c>
      <c r="AF8" s="1139">
        <v>4377.57</v>
      </c>
      <c r="AG8" s="1138">
        <v>-1212</v>
      </c>
      <c r="AH8" s="1139">
        <v>495.56</v>
      </c>
      <c r="AI8" s="1140">
        <v>777</v>
      </c>
      <c r="AJ8" s="1137">
        <v>2312.69</v>
      </c>
      <c r="AK8" s="1138">
        <v>1599</v>
      </c>
      <c r="AL8" s="1139"/>
      <c r="AM8" s="1138"/>
      <c r="AN8" s="1139">
        <v>25730.81</v>
      </c>
      <c r="AO8" s="1138">
        <v>7145</v>
      </c>
      <c r="AP8" s="1139">
        <v>1956.34</v>
      </c>
      <c r="AQ8" s="1138">
        <v>445</v>
      </c>
      <c r="AR8" s="1139">
        <v>44.95</v>
      </c>
      <c r="AS8" s="1138">
        <v>197</v>
      </c>
      <c r="AT8" s="1139"/>
      <c r="AU8" s="1138"/>
      <c r="AV8" s="1139">
        <f t="shared" si="0"/>
        <v>146656.01999999999</v>
      </c>
      <c r="AW8" s="1138">
        <f t="shared" si="0"/>
        <v>25639.119999999999</v>
      </c>
      <c r="AX8" s="1139">
        <v>4589.22</v>
      </c>
      <c r="AY8" s="1138">
        <v>2573.64</v>
      </c>
      <c r="AZ8" s="1139">
        <f t="shared" si="1"/>
        <v>151245.24</v>
      </c>
      <c r="BA8" s="1140">
        <f t="shared" si="1"/>
        <v>28212.76</v>
      </c>
    </row>
    <row r="9" spans="1:53" x14ac:dyDescent="0.3">
      <c r="A9" s="399" t="s">
        <v>317</v>
      </c>
      <c r="B9" s="1141"/>
      <c r="C9" s="1142"/>
      <c r="D9" s="1139"/>
      <c r="E9" s="1138"/>
      <c r="F9" s="1139"/>
      <c r="G9" s="1138"/>
      <c r="H9" s="1139"/>
      <c r="I9" s="1138"/>
      <c r="J9" s="1139"/>
      <c r="K9" s="1138"/>
      <c r="L9" s="1139"/>
      <c r="M9" s="1140"/>
      <c r="N9" s="1137"/>
      <c r="O9" s="1140"/>
      <c r="P9" s="1137"/>
      <c r="Q9" s="1140"/>
      <c r="R9" s="1137"/>
      <c r="S9" s="1140"/>
      <c r="T9" s="1137"/>
      <c r="U9" s="1140"/>
      <c r="V9" s="1137"/>
      <c r="W9" s="1140"/>
      <c r="X9" s="1137">
        <v>0.7</v>
      </c>
      <c r="Y9" s="1138"/>
      <c r="Z9" s="1139"/>
      <c r="AA9" s="1143"/>
      <c r="AB9" s="1139"/>
      <c r="AC9" s="1140"/>
      <c r="AD9" s="1137"/>
      <c r="AE9" s="1138"/>
      <c r="AF9" s="1139"/>
      <c r="AG9" s="1138"/>
      <c r="AH9" s="1139"/>
      <c r="AI9" s="1140"/>
      <c r="AJ9" s="1137"/>
      <c r="AK9" s="1138"/>
      <c r="AL9" s="1139"/>
      <c r="AM9" s="1138"/>
      <c r="AN9" s="1139"/>
      <c r="AO9" s="1138"/>
      <c r="AP9" s="1139"/>
      <c r="AQ9" s="1138"/>
      <c r="AR9" s="1139"/>
      <c r="AS9" s="1138"/>
      <c r="AT9" s="1139"/>
      <c r="AU9" s="1138"/>
      <c r="AV9" s="1139"/>
      <c r="AW9" s="1138"/>
      <c r="AX9" s="1139"/>
      <c r="AY9" s="1138"/>
      <c r="AZ9" s="1139"/>
      <c r="BA9" s="1140"/>
    </row>
    <row r="10" spans="1:53" s="1130" customFormat="1" ht="16.5" x14ac:dyDescent="0.35">
      <c r="A10" s="1205" t="s">
        <v>272</v>
      </c>
      <c r="B10" s="1144">
        <f t="shared" ref="B10:AJ10" si="2">SUM(B5:B8)</f>
        <v>240920.8</v>
      </c>
      <c r="C10" s="1145">
        <f t="shared" si="2"/>
        <v>255939</v>
      </c>
      <c r="D10" s="1146">
        <f t="shared" si="2"/>
        <v>245535.93</v>
      </c>
      <c r="E10" s="1145">
        <f t="shared" si="2"/>
        <v>283366</v>
      </c>
      <c r="F10" s="1146">
        <f t="shared" si="2"/>
        <v>200563.73</v>
      </c>
      <c r="G10" s="1145">
        <f t="shared" si="2"/>
        <v>200491</v>
      </c>
      <c r="H10" s="1146">
        <f t="shared" si="2"/>
        <v>1087678.2</v>
      </c>
      <c r="I10" s="1145">
        <f t="shared" si="2"/>
        <v>1052549</v>
      </c>
      <c r="J10" s="1146">
        <f t="shared" si="2"/>
        <v>338661.64999999997</v>
      </c>
      <c r="K10" s="1145">
        <f t="shared" si="2"/>
        <v>376445</v>
      </c>
      <c r="L10" s="1146">
        <f t="shared" si="2"/>
        <v>118495.55</v>
      </c>
      <c r="M10" s="1147">
        <f t="shared" si="2"/>
        <v>126138</v>
      </c>
      <c r="N10" s="1144">
        <f t="shared" si="2"/>
        <v>121233</v>
      </c>
      <c r="O10" s="1147">
        <f t="shared" si="2"/>
        <v>121068</v>
      </c>
      <c r="P10" s="1144">
        <f t="shared" si="2"/>
        <v>200816.24</v>
      </c>
      <c r="Q10" s="1147">
        <f t="shared" si="2"/>
        <v>237496</v>
      </c>
      <c r="R10" s="1144">
        <f t="shared" si="2"/>
        <v>185009.15</v>
      </c>
      <c r="S10" s="1147">
        <f t="shared" si="2"/>
        <v>185000</v>
      </c>
      <c r="T10" s="1144">
        <f t="shared" si="2"/>
        <v>206558.85</v>
      </c>
      <c r="U10" s="1147">
        <f t="shared" si="2"/>
        <v>239594</v>
      </c>
      <c r="V10" s="1144">
        <f t="shared" si="2"/>
        <v>895412.83</v>
      </c>
      <c r="W10" s="1147">
        <f t="shared" si="2"/>
        <v>1540054</v>
      </c>
      <c r="X10" s="1144">
        <f>SUM(X5:X9)</f>
        <v>847688</v>
      </c>
      <c r="Y10" s="1145">
        <f>SUM(Y5:Y9)</f>
        <v>904895</v>
      </c>
      <c r="Z10" s="1148">
        <f t="shared" si="2"/>
        <v>94841.06</v>
      </c>
      <c r="AA10" s="1148">
        <f t="shared" si="2"/>
        <v>103859</v>
      </c>
      <c r="AB10" s="1148">
        <f t="shared" si="2"/>
        <v>94452.15</v>
      </c>
      <c r="AC10" s="1149">
        <f t="shared" si="2"/>
        <v>94351.26999999999</v>
      </c>
      <c r="AD10" s="1150">
        <f t="shared" si="2"/>
        <v>368913.47000000003</v>
      </c>
      <c r="AE10" s="1151">
        <f t="shared" si="2"/>
        <v>452256</v>
      </c>
      <c r="AF10" s="1148">
        <f t="shared" si="2"/>
        <v>293015.59000000003</v>
      </c>
      <c r="AG10" s="1151">
        <f t="shared" si="2"/>
        <v>322314</v>
      </c>
      <c r="AH10" s="1148">
        <f t="shared" si="2"/>
        <v>202221.72</v>
      </c>
      <c r="AI10" s="1149">
        <f t="shared" si="2"/>
        <v>202495</v>
      </c>
      <c r="AJ10" s="1150">
        <f t="shared" si="2"/>
        <v>152260.96000000002</v>
      </c>
      <c r="AK10" s="1151">
        <f>SUM(AK5:AK8)</f>
        <v>151547</v>
      </c>
      <c r="AL10" s="1148"/>
      <c r="AM10" s="1151">
        <f>SUM(AM5:AM8)</f>
        <v>0</v>
      </c>
      <c r="AN10" s="1148">
        <f>SUM(AN5:AN8)</f>
        <v>1057766.1100000001</v>
      </c>
      <c r="AO10" s="1151">
        <f>SUM(AO5:AO8)</f>
        <v>1175985</v>
      </c>
      <c r="AP10" s="1148">
        <f t="shared" ref="AP10:AU10" si="3">SUM(AP5:AP8)</f>
        <v>72371.75</v>
      </c>
      <c r="AQ10" s="1151">
        <f t="shared" si="3"/>
        <v>70244</v>
      </c>
      <c r="AR10" s="1148">
        <f t="shared" si="3"/>
        <v>61407.94</v>
      </c>
      <c r="AS10" s="1151">
        <f t="shared" si="3"/>
        <v>71831</v>
      </c>
      <c r="AT10" s="1148">
        <f t="shared" si="3"/>
        <v>205216.7</v>
      </c>
      <c r="AU10" s="1151">
        <f t="shared" si="3"/>
        <v>207477</v>
      </c>
      <c r="AV10" s="1139">
        <f t="shared" si="0"/>
        <v>7291041.3799999999</v>
      </c>
      <c r="AW10" s="1138">
        <f t="shared" si="0"/>
        <v>8375394.2699999996</v>
      </c>
      <c r="AX10" s="1148">
        <f>SUM(AX5:AX8)</f>
        <v>637382.87</v>
      </c>
      <c r="AY10" s="1151">
        <f>SUM(AY5:AY8)</f>
        <v>1107670.6399999999</v>
      </c>
      <c r="AZ10" s="1139">
        <f t="shared" si="1"/>
        <v>7928424.25</v>
      </c>
      <c r="BA10" s="1140">
        <f t="shared" si="1"/>
        <v>9483064.9100000001</v>
      </c>
    </row>
    <row r="11" spans="1:53" x14ac:dyDescent="0.3">
      <c r="A11" s="399" t="s">
        <v>401</v>
      </c>
      <c r="B11" s="1141">
        <v>15000</v>
      </c>
      <c r="C11" s="1142">
        <v>50000</v>
      </c>
      <c r="D11" s="1139">
        <v>7000</v>
      </c>
      <c r="E11" s="1138">
        <v>7000</v>
      </c>
      <c r="F11" s="1139"/>
      <c r="G11" s="1138"/>
      <c r="H11" s="1139"/>
      <c r="I11" s="1138"/>
      <c r="J11" s="1139">
        <v>6000</v>
      </c>
      <c r="K11" s="1138">
        <v>6000</v>
      </c>
      <c r="L11" s="1139"/>
      <c r="M11" s="1140"/>
      <c r="N11" s="1137"/>
      <c r="O11" s="1140"/>
      <c r="P11" s="1137"/>
      <c r="Q11" s="1140"/>
      <c r="R11" s="1137"/>
      <c r="S11" s="1140"/>
      <c r="T11" s="1137">
        <v>3000</v>
      </c>
      <c r="U11" s="1140">
        <v>3000</v>
      </c>
      <c r="V11" s="1137">
        <v>60000</v>
      </c>
      <c r="W11" s="1140">
        <v>95000</v>
      </c>
      <c r="X11" s="1137">
        <v>120000</v>
      </c>
      <c r="Y11" s="1138">
        <v>120000</v>
      </c>
      <c r="Z11" s="1139"/>
      <c r="AA11" s="1138"/>
      <c r="AB11" s="1139">
        <v>10000</v>
      </c>
      <c r="AC11" s="1140">
        <v>10000</v>
      </c>
      <c r="AD11" s="1137"/>
      <c r="AE11" s="1138"/>
      <c r="AF11" s="1139"/>
      <c r="AG11" s="1138">
        <v>49600</v>
      </c>
      <c r="AH11" s="1139"/>
      <c r="AI11" s="1140">
        <v>40000</v>
      </c>
      <c r="AJ11" s="1137"/>
      <c r="AK11" s="1138"/>
      <c r="AL11" s="1139"/>
      <c r="AM11" s="1138"/>
      <c r="AN11" s="1139"/>
      <c r="AO11" s="1138"/>
      <c r="AP11" s="1139"/>
      <c r="AQ11" s="1138"/>
      <c r="AR11" s="1139"/>
      <c r="AS11" s="1138">
        <v>12500</v>
      </c>
      <c r="AT11" s="1139"/>
      <c r="AU11" s="1138"/>
      <c r="AV11" s="1139">
        <f t="shared" si="0"/>
        <v>221000</v>
      </c>
      <c r="AW11" s="1138">
        <f t="shared" si="0"/>
        <v>393100</v>
      </c>
      <c r="AX11" s="1139"/>
      <c r="AY11" s="1138"/>
      <c r="AZ11" s="1139">
        <f t="shared" si="1"/>
        <v>221000</v>
      </c>
      <c r="BA11" s="1140">
        <f t="shared" si="1"/>
        <v>393100</v>
      </c>
    </row>
    <row r="12" spans="1:53" x14ac:dyDescent="0.3">
      <c r="A12" s="1205" t="s">
        <v>273</v>
      </c>
      <c r="B12" s="1141"/>
      <c r="C12" s="1142"/>
      <c r="D12" s="1139"/>
      <c r="E12" s="1138"/>
      <c r="F12" s="1139"/>
      <c r="G12" s="1138"/>
      <c r="H12" s="1139"/>
      <c r="I12" s="1138"/>
      <c r="J12" s="1139"/>
      <c r="K12" s="1138"/>
      <c r="L12" s="1139"/>
      <c r="M12" s="1140"/>
      <c r="N12" s="1137"/>
      <c r="O12" s="1140"/>
      <c r="P12" s="1137"/>
      <c r="Q12" s="1140"/>
      <c r="R12" s="1137"/>
      <c r="S12" s="1140"/>
      <c r="T12" s="1137"/>
      <c r="U12" s="1140"/>
      <c r="V12" s="1137"/>
      <c r="W12" s="1140"/>
      <c r="X12" s="1137"/>
      <c r="Y12" s="1138"/>
      <c r="Z12" s="1139"/>
      <c r="AA12" s="1138"/>
      <c r="AB12" s="1139"/>
      <c r="AC12" s="1140"/>
      <c r="AD12" s="1137"/>
      <c r="AE12" s="1138"/>
      <c r="AF12" s="1139"/>
      <c r="AG12" s="1138"/>
      <c r="AH12" s="1139"/>
      <c r="AI12" s="1140"/>
      <c r="AJ12" s="1137"/>
      <c r="AK12" s="1138"/>
      <c r="AL12" s="1139"/>
      <c r="AM12" s="1138"/>
      <c r="AN12" s="1139"/>
      <c r="AO12" s="1138"/>
      <c r="AP12" s="1139"/>
      <c r="AQ12" s="1138"/>
      <c r="AR12" s="1139"/>
      <c r="AS12" s="1138"/>
      <c r="AT12" s="1139"/>
      <c r="AU12" s="1138"/>
      <c r="AV12" s="1139">
        <f t="shared" si="0"/>
        <v>0</v>
      </c>
      <c r="AW12" s="1138">
        <f t="shared" si="0"/>
        <v>0</v>
      </c>
      <c r="AX12" s="1139"/>
      <c r="AY12" s="1138"/>
      <c r="AZ12" s="1139">
        <f t="shared" si="1"/>
        <v>0</v>
      </c>
      <c r="BA12" s="1140">
        <f t="shared" si="1"/>
        <v>0</v>
      </c>
    </row>
    <row r="13" spans="1:53" x14ac:dyDescent="0.3">
      <c r="A13" s="399" t="s">
        <v>271</v>
      </c>
      <c r="B13" s="1141">
        <v>22399</v>
      </c>
      <c r="C13" s="1142">
        <v>5882</v>
      </c>
      <c r="D13" s="1139">
        <v>294.86</v>
      </c>
      <c r="E13" s="1138">
        <v>-925</v>
      </c>
      <c r="F13" s="1139">
        <v>647.11</v>
      </c>
      <c r="G13" s="1138">
        <v>83</v>
      </c>
      <c r="H13" s="1139">
        <v>204371.28</v>
      </c>
      <c r="I13" s="1138">
        <v>136063</v>
      </c>
      <c r="J13" s="1139">
        <v>4898.1000000000004</v>
      </c>
      <c r="K13" s="1138">
        <v>-225</v>
      </c>
      <c r="L13" s="1139">
        <v>1450.6</v>
      </c>
      <c r="M13" s="1140">
        <v>-388</v>
      </c>
      <c r="N13" s="1137">
        <v>100</v>
      </c>
      <c r="O13" s="1140"/>
      <c r="P13" s="1137">
        <v>3100.81</v>
      </c>
      <c r="Q13" s="1140">
        <v>-565</v>
      </c>
      <c r="R13" s="1137">
        <v>10772.8</v>
      </c>
      <c r="S13" s="1140">
        <v>2283</v>
      </c>
      <c r="T13" s="1137">
        <v>-59.26</v>
      </c>
      <c r="U13" s="1140">
        <v>89</v>
      </c>
      <c r="V13" s="1137">
        <v>233989.32</v>
      </c>
      <c r="W13" s="1140">
        <v>88704</v>
      </c>
      <c r="X13" s="1137">
        <v>313029</v>
      </c>
      <c r="Y13" s="1138">
        <v>159434</v>
      </c>
      <c r="Z13" s="1139">
        <v>3339.55</v>
      </c>
      <c r="AA13" s="1138">
        <v>1082</v>
      </c>
      <c r="AB13" s="1139">
        <v>2642.16</v>
      </c>
      <c r="AC13" s="1140">
        <v>-1231</v>
      </c>
      <c r="AD13" s="1137">
        <v>12287.58</v>
      </c>
      <c r="AE13" s="1138">
        <v>-13596</v>
      </c>
      <c r="AF13" s="1139">
        <v>111612</v>
      </c>
      <c r="AG13" s="1138">
        <v>-17369</v>
      </c>
      <c r="AH13" s="1139">
        <v>24103.47</v>
      </c>
      <c r="AI13" s="1140">
        <v>9069</v>
      </c>
      <c r="AJ13" s="1137">
        <v>10979.92</v>
      </c>
      <c r="AK13" s="1138">
        <v>7783</v>
      </c>
      <c r="AL13" s="1139"/>
      <c r="AM13" s="1138"/>
      <c r="AN13" s="1139">
        <v>284279.3</v>
      </c>
      <c r="AO13" s="1138">
        <v>202418</v>
      </c>
      <c r="AP13" s="1139">
        <v>6280.03</v>
      </c>
      <c r="AQ13" s="1138">
        <v>1464.7</v>
      </c>
      <c r="AR13" s="1139">
        <v>614</v>
      </c>
      <c r="AS13" s="1138">
        <v>1698</v>
      </c>
      <c r="AT13" s="1139">
        <v>156574.07</v>
      </c>
      <c r="AU13" s="1138">
        <v>96016</v>
      </c>
      <c r="AV13" s="1139">
        <f t="shared" si="0"/>
        <v>1407705.7000000002</v>
      </c>
      <c r="AW13" s="1138">
        <f t="shared" si="0"/>
        <v>677769.7</v>
      </c>
      <c r="AX13" s="1139">
        <v>33101338.800000001</v>
      </c>
      <c r="AY13" s="1138">
        <v>31203671</v>
      </c>
      <c r="AZ13" s="1139">
        <f t="shared" si="1"/>
        <v>34509044.5</v>
      </c>
      <c r="BA13" s="1140">
        <f t="shared" si="1"/>
        <v>31881440.699999999</v>
      </c>
    </row>
    <row r="14" spans="1:53" x14ac:dyDescent="0.3">
      <c r="A14" s="399" t="s">
        <v>311</v>
      </c>
      <c r="B14" s="1141"/>
      <c r="C14" s="1142"/>
      <c r="D14" s="1139"/>
      <c r="E14" s="1138"/>
      <c r="F14" s="1139"/>
      <c r="G14" s="1138"/>
      <c r="H14" s="1139"/>
      <c r="I14" s="1138"/>
      <c r="J14" s="1139"/>
      <c r="K14" s="1138"/>
      <c r="L14" s="1139"/>
      <c r="M14" s="1140"/>
      <c r="N14" s="1137"/>
      <c r="O14" s="1140"/>
      <c r="P14" s="1137"/>
      <c r="Q14" s="1140"/>
      <c r="R14" s="1137"/>
      <c r="S14" s="1140"/>
      <c r="T14" s="1137"/>
      <c r="U14" s="1140"/>
      <c r="V14" s="1137"/>
      <c r="W14" s="1140"/>
      <c r="X14" s="1137"/>
      <c r="Y14" s="1138"/>
      <c r="Z14" s="1139"/>
      <c r="AA14" s="1138"/>
      <c r="AB14" s="1139"/>
      <c r="AC14" s="1140"/>
      <c r="AD14" s="1137">
        <v>4973.6899999999996</v>
      </c>
      <c r="AE14" s="1138">
        <v>4973</v>
      </c>
      <c r="AF14" s="1139"/>
      <c r="AG14" s="1138"/>
      <c r="AH14" s="1139"/>
      <c r="AI14" s="1140"/>
      <c r="AJ14" s="1137"/>
      <c r="AK14" s="1138"/>
      <c r="AL14" s="1139"/>
      <c r="AM14" s="1138"/>
      <c r="AN14" s="1139"/>
      <c r="AO14" s="1138"/>
      <c r="AP14" s="1139"/>
      <c r="AQ14" s="1138"/>
      <c r="AR14" s="1139"/>
      <c r="AS14" s="1138"/>
      <c r="AT14" s="1139"/>
      <c r="AU14" s="1138"/>
      <c r="AV14" s="1139">
        <f t="shared" si="0"/>
        <v>4973.6899999999996</v>
      </c>
      <c r="AW14" s="1138">
        <f t="shared" si="0"/>
        <v>4973</v>
      </c>
      <c r="AX14" s="1139"/>
      <c r="AY14" s="1138"/>
      <c r="AZ14" s="1139">
        <f t="shared" si="1"/>
        <v>4973.6899999999996</v>
      </c>
      <c r="BA14" s="1140">
        <f t="shared" si="1"/>
        <v>4973</v>
      </c>
    </row>
    <row r="15" spans="1:53" x14ac:dyDescent="0.3">
      <c r="A15" s="399" t="s">
        <v>274</v>
      </c>
      <c r="B15" s="1141">
        <v>2335562.81</v>
      </c>
      <c r="C15" s="1142">
        <v>2967961</v>
      </c>
      <c r="D15" s="1139">
        <v>186981.11</v>
      </c>
      <c r="E15" s="1138">
        <v>228655</v>
      </c>
      <c r="F15" s="1139"/>
      <c r="G15" s="1138"/>
      <c r="H15" s="1139"/>
      <c r="I15" s="1138"/>
      <c r="J15" s="1139">
        <v>764780.91</v>
      </c>
      <c r="K15" s="1138">
        <v>931292</v>
      </c>
      <c r="L15" s="1139"/>
      <c r="M15" s="1140"/>
      <c r="N15" s="1137"/>
      <c r="O15" s="1140"/>
      <c r="P15" s="1137">
        <v>275992.38</v>
      </c>
      <c r="Q15" s="1140">
        <v>363417</v>
      </c>
      <c r="R15" s="1137">
        <v>1499633.29</v>
      </c>
      <c r="S15" s="1140">
        <v>1697074</v>
      </c>
      <c r="T15" s="1137">
        <v>43897788</v>
      </c>
      <c r="U15" s="1140">
        <v>523532</v>
      </c>
      <c r="V15" s="1137">
        <v>8971520.75</v>
      </c>
      <c r="W15" s="1140">
        <v>10813290</v>
      </c>
      <c r="X15" s="1137"/>
      <c r="Y15" s="1138"/>
      <c r="Z15" s="1139">
        <v>777271.6</v>
      </c>
      <c r="AA15" s="1138">
        <v>893548</v>
      </c>
      <c r="AB15" s="1139">
        <v>1047423.99</v>
      </c>
      <c r="AC15" s="1140">
        <v>1091352</v>
      </c>
      <c r="AD15" s="1137">
        <v>2317556.15</v>
      </c>
      <c r="AE15" s="1138">
        <v>2854477</v>
      </c>
      <c r="AF15" s="1139"/>
      <c r="AG15" s="1138"/>
      <c r="AH15" s="1139">
        <v>2010974</v>
      </c>
      <c r="AI15" s="1140">
        <v>2449828</v>
      </c>
      <c r="AJ15" s="1137">
        <v>1732427.91</v>
      </c>
      <c r="AK15" s="1138">
        <v>1962972</v>
      </c>
      <c r="AL15" s="1139"/>
      <c r="AM15" s="1138"/>
      <c r="AN15" s="1139">
        <v>9574792.1899999995</v>
      </c>
      <c r="AO15" s="1138">
        <v>11445402</v>
      </c>
      <c r="AP15" s="1139">
        <v>543754.44999999995</v>
      </c>
      <c r="AQ15" s="1138">
        <v>692082.66</v>
      </c>
      <c r="AR15" s="1139">
        <v>911837.62</v>
      </c>
      <c r="AS15" s="1138">
        <v>1194972</v>
      </c>
      <c r="AT15" s="1139">
        <v>2693429.91</v>
      </c>
      <c r="AU15" s="1138">
        <v>3392603</v>
      </c>
      <c r="AV15" s="1139">
        <f t="shared" si="0"/>
        <v>79541727.070000008</v>
      </c>
      <c r="AW15" s="1138">
        <f t="shared" si="0"/>
        <v>43502457.659999996</v>
      </c>
      <c r="AX15" s="1139"/>
      <c r="AY15" s="1138"/>
      <c r="AZ15" s="1139">
        <f t="shared" si="1"/>
        <v>79541727.070000008</v>
      </c>
      <c r="BA15" s="1140">
        <f t="shared" si="1"/>
        <v>43502457.659999996</v>
      </c>
    </row>
    <row r="16" spans="1:53" x14ac:dyDescent="0.3">
      <c r="A16" s="399" t="s">
        <v>307</v>
      </c>
      <c r="B16" s="1141"/>
      <c r="C16" s="1142"/>
      <c r="D16" s="1139"/>
      <c r="E16" s="1138"/>
      <c r="F16" s="1139"/>
      <c r="G16" s="1138">
        <v>2145</v>
      </c>
      <c r="H16" s="1139"/>
      <c r="I16" s="1138"/>
      <c r="J16" s="1139"/>
      <c r="K16" s="1138"/>
      <c r="L16" s="1139"/>
      <c r="M16" s="1140">
        <v>3700</v>
      </c>
      <c r="N16" s="1137"/>
      <c r="O16" s="1140"/>
      <c r="P16" s="1137"/>
      <c r="Q16" s="1140"/>
      <c r="R16" s="1137"/>
      <c r="S16" s="1140"/>
      <c r="T16" s="1137"/>
      <c r="U16" s="1140"/>
      <c r="V16" s="1137"/>
      <c r="W16" s="1140"/>
      <c r="X16" s="1137"/>
      <c r="Y16" s="1138"/>
      <c r="Z16" s="1139"/>
      <c r="AA16" s="1138"/>
      <c r="AB16" s="1139"/>
      <c r="AC16" s="1140"/>
      <c r="AD16" s="1137"/>
      <c r="AE16" s="1138"/>
      <c r="AF16" s="1139"/>
      <c r="AG16" s="1138"/>
      <c r="AH16" s="1139"/>
      <c r="AI16" s="1140"/>
      <c r="AJ16" s="1137"/>
      <c r="AK16" s="1138"/>
      <c r="AL16" s="1139"/>
      <c r="AM16" s="1138"/>
      <c r="AN16" s="1139"/>
      <c r="AO16" s="1138"/>
      <c r="AP16" s="1139"/>
      <c r="AQ16" s="1138"/>
      <c r="AR16" s="1139"/>
      <c r="AS16" s="1138"/>
      <c r="AT16" s="1139"/>
      <c r="AU16" s="1138"/>
      <c r="AV16" s="1139">
        <f t="shared" si="0"/>
        <v>0</v>
      </c>
      <c r="AW16" s="1138">
        <f t="shared" si="0"/>
        <v>5845</v>
      </c>
      <c r="AX16" s="1139"/>
      <c r="AY16" s="1138"/>
      <c r="AZ16" s="1139">
        <f t="shared" si="1"/>
        <v>0</v>
      </c>
      <c r="BA16" s="1140">
        <f t="shared" si="1"/>
        <v>5845</v>
      </c>
    </row>
    <row r="17" spans="1:53" x14ac:dyDescent="0.3">
      <c r="A17" s="1205" t="s">
        <v>274</v>
      </c>
      <c r="B17" s="1141"/>
      <c r="C17" s="1142"/>
      <c r="D17" s="1139"/>
      <c r="E17" s="1138"/>
      <c r="F17" s="1139"/>
      <c r="G17" s="1138"/>
      <c r="H17" s="1139"/>
      <c r="I17" s="1138"/>
      <c r="J17" s="1139"/>
      <c r="K17" s="1138"/>
      <c r="L17" s="1139"/>
      <c r="M17" s="1140"/>
      <c r="N17" s="1137">
        <v>447769</v>
      </c>
      <c r="O17" s="1140">
        <v>514276</v>
      </c>
      <c r="P17" s="1137"/>
      <c r="Q17" s="1140"/>
      <c r="R17" s="1137"/>
      <c r="S17" s="1140"/>
      <c r="T17" s="1137"/>
      <c r="U17" s="1140"/>
      <c r="V17" s="1137"/>
      <c r="W17" s="1140"/>
      <c r="X17" s="1137"/>
      <c r="Y17" s="1138"/>
      <c r="Z17" s="1139"/>
      <c r="AA17" s="1138"/>
      <c r="AB17" s="1139"/>
      <c r="AC17" s="1140"/>
      <c r="AD17" s="1137"/>
      <c r="AE17" s="1138"/>
      <c r="AF17" s="1139">
        <v>5742491</v>
      </c>
      <c r="AG17" s="1138">
        <v>6899566</v>
      </c>
      <c r="AH17" s="1139"/>
      <c r="AI17" s="1140"/>
      <c r="AJ17" s="1137"/>
      <c r="AK17" s="1138"/>
      <c r="AL17" s="1139"/>
      <c r="AM17" s="1138"/>
      <c r="AN17" s="1139"/>
      <c r="AO17" s="1138"/>
      <c r="AP17" s="1139"/>
      <c r="AQ17" s="1138"/>
      <c r="AR17" s="1139"/>
      <c r="AS17" s="1138"/>
      <c r="AT17" s="1139"/>
      <c r="AU17" s="1138"/>
      <c r="AV17" s="1139">
        <f t="shared" si="0"/>
        <v>6190260</v>
      </c>
      <c r="AW17" s="1138">
        <f t="shared" si="0"/>
        <v>7413842</v>
      </c>
      <c r="AX17" s="1139">
        <v>34813389.193000004</v>
      </c>
      <c r="AY17" s="1138">
        <v>378929334</v>
      </c>
      <c r="AZ17" s="1139">
        <f t="shared" si="1"/>
        <v>41003649.193000004</v>
      </c>
      <c r="BA17" s="1140">
        <f t="shared" si="1"/>
        <v>386343176</v>
      </c>
    </row>
    <row r="18" spans="1:53" x14ac:dyDescent="0.3">
      <c r="A18" s="399" t="s">
        <v>232</v>
      </c>
      <c r="B18" s="1141"/>
      <c r="C18" s="1142"/>
      <c r="D18" s="1139"/>
      <c r="E18" s="1138"/>
      <c r="F18" s="1139">
        <f>3343.57+56.06</f>
        <v>3399.63</v>
      </c>
      <c r="G18" s="1138">
        <f>3288+38</f>
        <v>3326</v>
      </c>
      <c r="H18" s="1139"/>
      <c r="I18" s="1138">
        <v>4020811</v>
      </c>
      <c r="J18" s="1139">
        <v>150054.04999999999</v>
      </c>
      <c r="K18" s="1138">
        <v>155279</v>
      </c>
      <c r="L18" s="1139">
        <f>7560.14+496.14</f>
        <v>8056.2800000000007</v>
      </c>
      <c r="M18" s="1140">
        <f>4855+343</f>
        <v>5198</v>
      </c>
      <c r="N18" s="1137"/>
      <c r="O18" s="1140"/>
      <c r="P18" s="1137"/>
      <c r="Q18" s="1140"/>
      <c r="R18" s="1137"/>
      <c r="S18" s="1140"/>
      <c r="T18" s="1137"/>
      <c r="U18" s="1140"/>
      <c r="V18" s="1137"/>
      <c r="W18" s="1140"/>
      <c r="X18" s="1137">
        <v>6338238</v>
      </c>
      <c r="Y18" s="1138">
        <v>7689756</v>
      </c>
      <c r="Z18" s="1139"/>
      <c r="AA18" s="1138"/>
      <c r="AB18" s="1139"/>
      <c r="AC18" s="1140"/>
      <c r="AD18" s="1137"/>
      <c r="AE18" s="1138"/>
      <c r="AF18" s="1139"/>
      <c r="AG18" s="1138"/>
      <c r="AH18" s="1139"/>
      <c r="AI18" s="1140"/>
      <c r="AJ18" s="1137"/>
      <c r="AK18" s="1138"/>
      <c r="AL18" s="1139"/>
      <c r="AM18" s="1138"/>
      <c r="AN18" s="1139"/>
      <c r="AO18" s="1138"/>
      <c r="AP18" s="1139"/>
      <c r="AQ18" s="1138"/>
      <c r="AR18" s="1139"/>
      <c r="AS18" s="1138"/>
      <c r="AT18" s="1139"/>
      <c r="AU18" s="1138"/>
      <c r="AV18" s="1139">
        <f t="shared" si="0"/>
        <v>6499747.96</v>
      </c>
      <c r="AW18" s="1138">
        <f t="shared" si="0"/>
        <v>11874370</v>
      </c>
      <c r="AX18" s="1139"/>
      <c r="AY18" s="1138"/>
      <c r="AZ18" s="1139">
        <f t="shared" si="1"/>
        <v>6499747.96</v>
      </c>
      <c r="BA18" s="1140">
        <f t="shared" si="1"/>
        <v>11874370</v>
      </c>
    </row>
    <row r="19" spans="1:53" x14ac:dyDescent="0.3">
      <c r="A19" s="399" t="s">
        <v>283</v>
      </c>
      <c r="B19" s="1141"/>
      <c r="C19" s="1142"/>
      <c r="D19" s="1139"/>
      <c r="E19" s="1138"/>
      <c r="F19" s="1139">
        <v>663892.1</v>
      </c>
      <c r="G19" s="1138">
        <f>2984+90+714264+18516+5547+321+6676+374+1807</f>
        <v>750579</v>
      </c>
      <c r="H19" s="1139"/>
      <c r="I19" s="1138"/>
      <c r="J19" s="1139"/>
      <c r="K19" s="1138"/>
      <c r="L19" s="1139">
        <v>907066.02</v>
      </c>
      <c r="M19" s="1140">
        <f>172050+576895+3023+357871+102404+481</f>
        <v>1212724</v>
      </c>
      <c r="N19" s="1137"/>
      <c r="O19" s="1140"/>
      <c r="P19" s="1137"/>
      <c r="Q19" s="1140"/>
      <c r="R19" s="1137"/>
      <c r="S19" s="1140"/>
      <c r="T19" s="1137"/>
      <c r="U19" s="1140"/>
      <c r="V19" s="1137"/>
      <c r="W19" s="1140"/>
      <c r="X19" s="1137"/>
      <c r="Y19" s="1138"/>
      <c r="Z19" s="1139"/>
      <c r="AA19" s="1138"/>
      <c r="AB19" s="1139"/>
      <c r="AC19" s="1140"/>
      <c r="AD19" s="1137"/>
      <c r="AE19" s="1138"/>
      <c r="AF19" s="1139"/>
      <c r="AG19" s="1138"/>
      <c r="AH19" s="1139"/>
      <c r="AI19" s="1140"/>
      <c r="AJ19" s="1137"/>
      <c r="AK19" s="1138"/>
      <c r="AL19" s="1139"/>
      <c r="AM19" s="1138"/>
      <c r="AN19" s="1139"/>
      <c r="AO19" s="1138"/>
      <c r="AP19" s="1139"/>
      <c r="AQ19" s="1138"/>
      <c r="AR19" s="1139"/>
      <c r="AS19" s="1138"/>
      <c r="AT19" s="1139"/>
      <c r="AU19" s="1138"/>
      <c r="AV19" s="1139">
        <f t="shared" si="0"/>
        <v>1570958.12</v>
      </c>
      <c r="AW19" s="1138">
        <f t="shared" si="0"/>
        <v>1963303</v>
      </c>
      <c r="AX19" s="1139"/>
      <c r="AY19" s="1138"/>
      <c r="AZ19" s="1139">
        <f t="shared" si="1"/>
        <v>1570958.12</v>
      </c>
      <c r="BA19" s="1140">
        <f t="shared" si="1"/>
        <v>1963303</v>
      </c>
    </row>
    <row r="20" spans="1:53" x14ac:dyDescent="0.3">
      <c r="A20" s="1205" t="s">
        <v>275</v>
      </c>
      <c r="B20" s="1141"/>
      <c r="C20" s="1142"/>
      <c r="D20" s="1139"/>
      <c r="E20" s="1138"/>
      <c r="F20" s="1139"/>
      <c r="G20" s="1138"/>
      <c r="H20" s="1139"/>
      <c r="I20" s="1138"/>
      <c r="J20" s="1139"/>
      <c r="K20" s="1138"/>
      <c r="L20" s="1139"/>
      <c r="M20" s="1140"/>
      <c r="N20" s="1137"/>
      <c r="O20" s="1140"/>
      <c r="P20" s="1137"/>
      <c r="Q20" s="1140"/>
      <c r="R20" s="1137"/>
      <c r="S20" s="1140"/>
      <c r="T20" s="1137"/>
      <c r="U20" s="1140"/>
      <c r="V20" s="1137"/>
      <c r="W20" s="1140"/>
      <c r="X20" s="1137"/>
      <c r="Y20" s="1138"/>
      <c r="Z20" s="1139"/>
      <c r="AA20" s="1138"/>
      <c r="AB20" s="1139"/>
      <c r="AC20" s="1140"/>
      <c r="AD20" s="1137"/>
      <c r="AE20" s="1138"/>
      <c r="AF20" s="1139"/>
      <c r="AG20" s="1138"/>
      <c r="AH20" s="1139"/>
      <c r="AI20" s="1140"/>
      <c r="AJ20" s="1137"/>
      <c r="AK20" s="1138"/>
      <c r="AL20" s="1139"/>
      <c r="AM20" s="1138"/>
      <c r="AN20" s="1139"/>
      <c r="AO20" s="1138"/>
      <c r="AP20" s="1139"/>
      <c r="AQ20" s="1138"/>
      <c r="AR20" s="1139"/>
      <c r="AS20" s="1138"/>
      <c r="AT20" s="1139"/>
      <c r="AU20" s="1138"/>
      <c r="AV20" s="1139">
        <f t="shared" si="0"/>
        <v>0</v>
      </c>
      <c r="AW20" s="1138">
        <f t="shared" si="0"/>
        <v>0</v>
      </c>
      <c r="AX20" s="1139">
        <v>1286461.1399999999</v>
      </c>
      <c r="AY20" s="1138">
        <v>1291595</v>
      </c>
      <c r="AZ20" s="1139">
        <f t="shared" si="1"/>
        <v>1286461.1399999999</v>
      </c>
      <c r="BA20" s="1140">
        <f t="shared" si="1"/>
        <v>1291595</v>
      </c>
    </row>
    <row r="21" spans="1:53" x14ac:dyDescent="0.3">
      <c r="A21" s="399" t="s">
        <v>276</v>
      </c>
      <c r="B21" s="1141">
        <v>2426057.13</v>
      </c>
      <c r="C21" s="1142">
        <v>2590653</v>
      </c>
      <c r="D21" s="1139"/>
      <c r="E21" s="1138"/>
      <c r="F21" s="1139">
        <v>367865.29</v>
      </c>
      <c r="G21" s="1138"/>
      <c r="H21" s="1139"/>
      <c r="I21" s="1138"/>
      <c r="J21" s="1139"/>
      <c r="K21" s="1138"/>
      <c r="L21" s="1139"/>
      <c r="M21" s="1140"/>
      <c r="N21" s="1137"/>
      <c r="O21" s="1140"/>
      <c r="P21" s="1137"/>
      <c r="Q21" s="1140"/>
      <c r="R21" s="1137"/>
      <c r="S21" s="1140"/>
      <c r="T21" s="1137"/>
      <c r="U21" s="1140"/>
      <c r="V21" s="1137"/>
      <c r="W21" s="1140"/>
      <c r="X21" s="1137"/>
      <c r="Y21" s="1138"/>
      <c r="Z21" s="1139"/>
      <c r="AA21" s="1138"/>
      <c r="AB21" s="1139"/>
      <c r="AC21" s="1140"/>
      <c r="AD21" s="1137"/>
      <c r="AE21" s="1138"/>
      <c r="AF21" s="1139"/>
      <c r="AG21" s="1138"/>
      <c r="AH21" s="1139"/>
      <c r="AI21" s="1140"/>
      <c r="AJ21" s="1137"/>
      <c r="AK21" s="1138"/>
      <c r="AL21" s="1139"/>
      <c r="AM21" s="1138"/>
      <c r="AN21" s="1139"/>
      <c r="AO21" s="1138"/>
      <c r="AP21" s="1139"/>
      <c r="AQ21" s="1138"/>
      <c r="AR21" s="1139"/>
      <c r="AS21" s="1138"/>
      <c r="AT21" s="1139"/>
      <c r="AU21" s="1138"/>
      <c r="AV21" s="1139">
        <f t="shared" si="0"/>
        <v>2793922.42</v>
      </c>
      <c r="AW21" s="1138">
        <f t="shared" si="0"/>
        <v>2590653</v>
      </c>
      <c r="AX21" s="1139"/>
      <c r="AY21" s="1138"/>
      <c r="AZ21" s="1139">
        <f t="shared" si="1"/>
        <v>2793922.42</v>
      </c>
      <c r="BA21" s="1140">
        <f t="shared" si="1"/>
        <v>2590653</v>
      </c>
    </row>
    <row r="22" spans="1:53" x14ac:dyDescent="0.3">
      <c r="A22" s="399" t="s">
        <v>277</v>
      </c>
      <c r="B22" s="1141"/>
      <c r="C22" s="1142"/>
      <c r="D22" s="1139"/>
      <c r="E22" s="1138"/>
      <c r="F22" s="1139"/>
      <c r="G22" s="1138"/>
      <c r="H22" s="1139"/>
      <c r="I22" s="1138"/>
      <c r="J22" s="1139"/>
      <c r="K22" s="1138"/>
      <c r="L22" s="1139"/>
      <c r="M22" s="1140"/>
      <c r="N22" s="1137"/>
      <c r="O22" s="1140"/>
      <c r="P22" s="1137"/>
      <c r="Q22" s="1140"/>
      <c r="R22" s="1137"/>
      <c r="S22" s="1140"/>
      <c r="T22" s="1137"/>
      <c r="U22" s="1140"/>
      <c r="V22" s="1137"/>
      <c r="W22" s="1140"/>
      <c r="X22" s="1137"/>
      <c r="Y22" s="1138"/>
      <c r="Z22" s="1139"/>
      <c r="AA22" s="1138"/>
      <c r="AB22" s="1139"/>
      <c r="AC22" s="1140"/>
      <c r="AD22" s="1137"/>
      <c r="AE22" s="1138"/>
      <c r="AF22" s="1139"/>
      <c r="AG22" s="1138"/>
      <c r="AH22" s="1139"/>
      <c r="AI22" s="1140"/>
      <c r="AJ22" s="1137"/>
      <c r="AK22" s="1138"/>
      <c r="AL22" s="1139"/>
      <c r="AM22" s="1138"/>
      <c r="AN22" s="1139"/>
      <c r="AO22" s="1138"/>
      <c r="AP22" s="1139"/>
      <c r="AQ22" s="1138"/>
      <c r="AR22" s="1139"/>
      <c r="AS22" s="1138"/>
      <c r="AT22" s="1139"/>
      <c r="AU22" s="1138"/>
      <c r="AV22" s="1139">
        <f t="shared" si="0"/>
        <v>0</v>
      </c>
      <c r="AW22" s="1138">
        <f t="shared" si="0"/>
        <v>0</v>
      </c>
      <c r="AX22" s="1139"/>
      <c r="AY22" s="1138"/>
      <c r="AZ22" s="1139">
        <f t="shared" si="1"/>
        <v>0</v>
      </c>
      <c r="BA22" s="1140">
        <f t="shared" si="1"/>
        <v>0</v>
      </c>
    </row>
    <row r="23" spans="1:53" x14ac:dyDescent="0.3">
      <c r="A23" s="1205" t="s">
        <v>278</v>
      </c>
      <c r="B23" s="1141"/>
      <c r="C23" s="1142"/>
      <c r="D23" s="1139">
        <v>91608.76</v>
      </c>
      <c r="E23" s="1138">
        <v>85321</v>
      </c>
      <c r="F23" s="1139"/>
      <c r="G23" s="1138">
        <v>317921</v>
      </c>
      <c r="H23" s="1139">
        <v>2879228</v>
      </c>
      <c r="I23" s="1138">
        <v>2922442</v>
      </c>
      <c r="J23" s="1139"/>
      <c r="K23" s="1138"/>
      <c r="L23" s="1139">
        <f>923986.49+8827</f>
        <v>932813.49</v>
      </c>
      <c r="M23" s="1140">
        <f>1023916+12007</f>
        <v>1035923</v>
      </c>
      <c r="N23" s="1137">
        <v>35743</v>
      </c>
      <c r="O23" s="1140">
        <v>32421</v>
      </c>
      <c r="P23" s="1137">
        <v>107822.32</v>
      </c>
      <c r="Q23" s="1140">
        <v>136281</v>
      </c>
      <c r="R23" s="1137">
        <v>165835.5</v>
      </c>
      <c r="S23" s="1140">
        <v>181186</v>
      </c>
      <c r="T23" s="1137">
        <v>53165.96</v>
      </c>
      <c r="U23" s="1140">
        <v>49040</v>
      </c>
      <c r="V23" s="1137">
        <v>5405671.0599999996</v>
      </c>
      <c r="W23" s="1140">
        <v>6945411</v>
      </c>
      <c r="X23" s="1137">
        <v>13359105</v>
      </c>
      <c r="Y23" s="1138">
        <v>12871102</v>
      </c>
      <c r="Z23" s="1139">
        <v>354395.04</v>
      </c>
      <c r="AA23" s="1138">
        <v>359946</v>
      </c>
      <c r="AB23" s="1139">
        <v>586884.21</v>
      </c>
      <c r="AC23" s="1140">
        <v>626976</v>
      </c>
      <c r="AD23" s="1137">
        <v>1973833</v>
      </c>
      <c r="AE23" s="1138">
        <v>2044867</v>
      </c>
      <c r="AF23" s="1139">
        <v>2632543.92</v>
      </c>
      <c r="AG23" s="1138">
        <v>2741359</v>
      </c>
      <c r="AH23" s="1139">
        <v>658196</v>
      </c>
      <c r="AI23" s="1140">
        <v>640233</v>
      </c>
      <c r="AJ23" s="1137">
        <v>587454.19999999995</v>
      </c>
      <c r="AK23" s="1138">
        <v>574254</v>
      </c>
      <c r="AL23" s="1139"/>
      <c r="AM23" s="1138"/>
      <c r="AN23" s="1139">
        <v>114571.01</v>
      </c>
      <c r="AO23" s="1138">
        <v>12698372</v>
      </c>
      <c r="AP23" s="1139">
        <v>48949.69</v>
      </c>
      <c r="AQ23" s="1138">
        <v>40625.65</v>
      </c>
      <c r="AR23" s="1139">
        <v>216537</v>
      </c>
      <c r="AS23" s="1138">
        <v>227838</v>
      </c>
      <c r="AT23" s="1139">
        <v>1691798.93</v>
      </c>
      <c r="AU23" s="1138">
        <v>1733513</v>
      </c>
      <c r="AV23" s="1139">
        <f t="shared" si="0"/>
        <v>31896156.09</v>
      </c>
      <c r="AW23" s="1138">
        <f t="shared" si="0"/>
        <v>46265031.649999999</v>
      </c>
      <c r="AX23" s="1139">
        <v>3014380.18</v>
      </c>
      <c r="AY23" s="1138">
        <v>2255219</v>
      </c>
      <c r="AZ23" s="1139">
        <f t="shared" si="1"/>
        <v>34910536.270000003</v>
      </c>
      <c r="BA23" s="1140">
        <f t="shared" si="1"/>
        <v>48520250.649999999</v>
      </c>
    </row>
    <row r="24" spans="1:53" x14ac:dyDescent="0.3">
      <c r="A24" s="399" t="s">
        <v>308</v>
      </c>
      <c r="B24" s="1141"/>
      <c r="C24" s="1142"/>
      <c r="D24" s="1139"/>
      <c r="E24" s="1138"/>
      <c r="F24" s="1139"/>
      <c r="G24" s="1138"/>
      <c r="H24" s="1139"/>
      <c r="I24" s="1138"/>
      <c r="J24" s="1139"/>
      <c r="K24" s="1138"/>
      <c r="L24" s="1139">
        <v>216664.11</v>
      </c>
      <c r="M24" s="1140">
        <v>88315</v>
      </c>
      <c r="N24" s="1137"/>
      <c r="O24" s="1140"/>
      <c r="P24" s="1137">
        <v>22588.55</v>
      </c>
      <c r="Q24" s="1140">
        <v>3416</v>
      </c>
      <c r="R24" s="1137">
        <v>45067.72</v>
      </c>
      <c r="S24" s="1140">
        <v>19968</v>
      </c>
      <c r="T24" s="1137"/>
      <c r="U24" s="1140"/>
      <c r="V24" s="1137"/>
      <c r="W24" s="1140"/>
      <c r="X24" s="1137"/>
      <c r="Y24" s="1138"/>
      <c r="Z24" s="1139"/>
      <c r="AA24" s="1138"/>
      <c r="AB24" s="1139"/>
      <c r="AC24" s="1140"/>
      <c r="AD24" s="1137"/>
      <c r="AE24" s="1138"/>
      <c r="AF24" s="1139"/>
      <c r="AG24" s="1138"/>
      <c r="AH24" s="1139"/>
      <c r="AI24" s="1140"/>
      <c r="AJ24" s="1137"/>
      <c r="AK24" s="1138"/>
      <c r="AL24" s="1139"/>
      <c r="AM24" s="1138"/>
      <c r="AN24" s="1139"/>
      <c r="AO24" s="1138"/>
      <c r="AP24" s="1139"/>
      <c r="AQ24" s="1138"/>
      <c r="AR24" s="1139">
        <v>22435</v>
      </c>
      <c r="AS24" s="1138">
        <v>-2262</v>
      </c>
      <c r="AT24" s="1139"/>
      <c r="AU24" s="1138"/>
      <c r="AV24" s="1139">
        <f t="shared" si="0"/>
        <v>306755.38</v>
      </c>
      <c r="AW24" s="1138">
        <f t="shared" si="0"/>
        <v>109437</v>
      </c>
      <c r="AX24" s="1139"/>
      <c r="AY24" s="1138"/>
      <c r="AZ24" s="1139">
        <f t="shared" si="1"/>
        <v>306755.38</v>
      </c>
      <c r="BA24" s="1140">
        <f t="shared" si="1"/>
        <v>109437</v>
      </c>
    </row>
    <row r="25" spans="1:53" x14ac:dyDescent="0.3">
      <c r="A25" s="399" t="s">
        <v>310</v>
      </c>
      <c r="B25" s="1141"/>
      <c r="C25" s="1142"/>
      <c r="D25" s="1139"/>
      <c r="E25" s="1138"/>
      <c r="F25" s="1139"/>
      <c r="G25" s="1138"/>
      <c r="H25" s="1139"/>
      <c r="I25" s="1138"/>
      <c r="J25" s="1139"/>
      <c r="K25" s="1138"/>
      <c r="L25" s="1139"/>
      <c r="M25" s="1140"/>
      <c r="N25" s="1137"/>
      <c r="O25" s="1140"/>
      <c r="P25" s="1137"/>
      <c r="Q25" s="1140"/>
      <c r="R25" s="1137">
        <v>863.56</v>
      </c>
      <c r="S25" s="1140">
        <v>833</v>
      </c>
      <c r="T25" s="1137"/>
      <c r="U25" s="1140"/>
      <c r="V25" s="1137"/>
      <c r="W25" s="1140"/>
      <c r="X25" s="1137"/>
      <c r="Y25" s="1138"/>
      <c r="Z25" s="1139"/>
      <c r="AA25" s="1138"/>
      <c r="AB25" s="1139"/>
      <c r="AC25" s="1140"/>
      <c r="AD25" s="1137"/>
      <c r="AE25" s="1138"/>
      <c r="AF25" s="1139"/>
      <c r="AG25" s="1138"/>
      <c r="AH25" s="1139">
        <v>658195.52</v>
      </c>
      <c r="AI25" s="1140">
        <v>640233</v>
      </c>
      <c r="AJ25" s="1137"/>
      <c r="AK25" s="1138"/>
      <c r="AL25" s="1139"/>
      <c r="AM25" s="1138"/>
      <c r="AN25" s="1139"/>
      <c r="AO25" s="1138"/>
      <c r="AP25" s="1139"/>
      <c r="AQ25" s="1138"/>
      <c r="AR25" s="1139"/>
      <c r="AS25" s="1138"/>
      <c r="AT25" s="1139"/>
      <c r="AU25" s="1138"/>
      <c r="AV25" s="1139">
        <f t="shared" si="0"/>
        <v>659059.08000000007</v>
      </c>
      <c r="AW25" s="1138">
        <f t="shared" si="0"/>
        <v>641066</v>
      </c>
      <c r="AX25" s="1139"/>
      <c r="AY25" s="1138"/>
      <c r="AZ25" s="1139">
        <f t="shared" si="1"/>
        <v>659059.08000000007</v>
      </c>
      <c r="BA25" s="1140">
        <f t="shared" si="1"/>
        <v>641066</v>
      </c>
    </row>
    <row r="26" spans="1:53" x14ac:dyDescent="0.3">
      <c r="A26" s="1205" t="s">
        <v>279</v>
      </c>
      <c r="B26" s="1141"/>
      <c r="C26" s="1142"/>
      <c r="D26" s="1139"/>
      <c r="E26" s="1138"/>
      <c r="F26" s="1139"/>
      <c r="G26" s="1138"/>
      <c r="H26" s="1139"/>
      <c r="I26" s="1138"/>
      <c r="J26" s="1139"/>
      <c r="K26" s="1138"/>
      <c r="L26" s="1139"/>
      <c r="M26" s="1140"/>
      <c r="N26" s="1137"/>
      <c r="O26" s="1140"/>
      <c r="P26" s="1137"/>
      <c r="Q26" s="1140"/>
      <c r="R26" s="1137"/>
      <c r="S26" s="1140"/>
      <c r="T26" s="1137"/>
      <c r="U26" s="1140"/>
      <c r="V26" s="1137"/>
      <c r="W26" s="1140"/>
      <c r="X26" s="1137"/>
      <c r="Y26" s="1138"/>
      <c r="Z26" s="1139"/>
      <c r="AA26" s="1138"/>
      <c r="AB26" s="1139"/>
      <c r="AC26" s="1140"/>
      <c r="AD26" s="1137"/>
      <c r="AE26" s="1138"/>
      <c r="AF26" s="1139"/>
      <c r="AG26" s="1138"/>
      <c r="AH26" s="1139"/>
      <c r="AI26" s="1140"/>
      <c r="AJ26" s="1137"/>
      <c r="AK26" s="1138"/>
      <c r="AL26" s="1139"/>
      <c r="AM26" s="1138"/>
      <c r="AN26" s="1139"/>
      <c r="AO26" s="1138"/>
      <c r="AP26" s="1139"/>
      <c r="AQ26" s="1138"/>
      <c r="AR26" s="1139"/>
      <c r="AS26" s="1138"/>
      <c r="AT26" s="1139"/>
      <c r="AU26" s="1138"/>
      <c r="AV26" s="1139">
        <f t="shared" si="0"/>
        <v>0</v>
      </c>
      <c r="AW26" s="1138">
        <f t="shared" si="0"/>
        <v>0</v>
      </c>
      <c r="AX26" s="1139"/>
      <c r="AY26" s="1138"/>
      <c r="AZ26" s="1139">
        <f t="shared" si="1"/>
        <v>0</v>
      </c>
      <c r="BA26" s="1140">
        <f t="shared" si="1"/>
        <v>0</v>
      </c>
    </row>
    <row r="27" spans="1:53" x14ac:dyDescent="0.3">
      <c r="A27" s="399" t="s">
        <v>280</v>
      </c>
      <c r="B27" s="1141">
        <v>103203.75</v>
      </c>
      <c r="C27" s="1142">
        <v>218513</v>
      </c>
      <c r="D27" s="1139">
        <v>14666.92</v>
      </c>
      <c r="E27" s="1138">
        <v>12686</v>
      </c>
      <c r="F27" s="1139"/>
      <c r="G27" s="1138">
        <v>17709</v>
      </c>
      <c r="H27" s="1139">
        <v>187329</v>
      </c>
      <c r="I27" s="1138">
        <v>179092</v>
      </c>
      <c r="J27" s="1139">
        <v>2619.5300000000002</v>
      </c>
      <c r="K27" s="1138">
        <v>5029</v>
      </c>
      <c r="L27" s="1139">
        <v>79160.539999999994</v>
      </c>
      <c r="M27" s="1140">
        <f>66314</f>
        <v>66314</v>
      </c>
      <c r="N27" s="1137">
        <v>6123</v>
      </c>
      <c r="O27" s="1140">
        <v>5112</v>
      </c>
      <c r="P27" s="1137">
        <v>18174.18</v>
      </c>
      <c r="Q27" s="1140">
        <v>18531</v>
      </c>
      <c r="R27" s="1137">
        <v>18659.45</v>
      </c>
      <c r="S27" s="1140">
        <v>15812</v>
      </c>
      <c r="T27" s="1137">
        <v>17685.759999999998</v>
      </c>
      <c r="U27" s="1140">
        <v>19640</v>
      </c>
      <c r="V27" s="1137">
        <v>413237.52</v>
      </c>
      <c r="W27" s="1140">
        <v>417618</v>
      </c>
      <c r="X27" s="1137">
        <v>1143262</v>
      </c>
      <c r="Y27" s="1138">
        <v>1011796</v>
      </c>
      <c r="Z27" s="1139">
        <v>20504.150000000001</v>
      </c>
      <c r="AA27" s="1138">
        <v>21459</v>
      </c>
      <c r="AB27" s="1139">
        <v>41437.06</v>
      </c>
      <c r="AC27" s="1140">
        <v>48685.57</v>
      </c>
      <c r="AD27" s="1137">
        <v>68490.98</v>
      </c>
      <c r="AE27" s="1138">
        <v>65855</v>
      </c>
      <c r="AF27" s="1139">
        <v>342231.97</v>
      </c>
      <c r="AG27" s="1138">
        <v>434982</v>
      </c>
      <c r="AH27" s="1139">
        <v>76859.31</v>
      </c>
      <c r="AI27" s="1140">
        <v>103973</v>
      </c>
      <c r="AJ27" s="1137">
        <v>49695.45</v>
      </c>
      <c r="AK27" s="1138">
        <v>65877</v>
      </c>
      <c r="AL27" s="1139"/>
      <c r="AM27" s="1138"/>
      <c r="AN27" s="1139">
        <v>796503.21</v>
      </c>
      <c r="AO27" s="1138">
        <v>853947</v>
      </c>
      <c r="AP27" s="1139">
        <v>2254.19</v>
      </c>
      <c r="AQ27" s="1138">
        <v>2312.39</v>
      </c>
      <c r="AR27" s="1139">
        <v>22098.06</v>
      </c>
      <c r="AS27" s="1138">
        <v>27937</v>
      </c>
      <c r="AT27" s="1139">
        <v>113572.12</v>
      </c>
      <c r="AU27" s="1138">
        <v>133665</v>
      </c>
      <c r="AV27" s="1139">
        <f t="shared" si="0"/>
        <v>3537768.15</v>
      </c>
      <c r="AW27" s="1138">
        <f t="shared" si="0"/>
        <v>3746544.9600000004</v>
      </c>
      <c r="AX27" s="1139">
        <v>3993.27</v>
      </c>
      <c r="AY27" s="1138">
        <v>8201</v>
      </c>
      <c r="AZ27" s="1139">
        <f t="shared" si="1"/>
        <v>3541761.42</v>
      </c>
      <c r="BA27" s="1140">
        <f t="shared" si="1"/>
        <v>3754745.9600000004</v>
      </c>
    </row>
    <row r="28" spans="1:53" x14ac:dyDescent="0.3">
      <c r="A28" s="399" t="s">
        <v>281</v>
      </c>
      <c r="B28" s="1141"/>
      <c r="C28" s="1142"/>
      <c r="D28" s="1139">
        <v>77.17</v>
      </c>
      <c r="E28" s="1138">
        <v>187</v>
      </c>
      <c r="F28" s="1139"/>
      <c r="G28" s="1138"/>
      <c r="H28" s="1139"/>
      <c r="I28" s="1138"/>
      <c r="J28" s="1139"/>
      <c r="K28" s="1138"/>
      <c r="L28" s="1139">
        <v>1029.94</v>
      </c>
      <c r="M28" s="1140">
        <v>957</v>
      </c>
      <c r="N28" s="1137"/>
      <c r="O28" s="1140"/>
      <c r="P28" s="1137"/>
      <c r="Q28" s="1140"/>
      <c r="R28" s="1137"/>
      <c r="S28" s="1140"/>
      <c r="T28" s="1137"/>
      <c r="U28" s="1140"/>
      <c r="V28" s="1137">
        <v>2123.4699999999998</v>
      </c>
      <c r="W28" s="1140">
        <v>1711</v>
      </c>
      <c r="X28" s="1137">
        <v>6178</v>
      </c>
      <c r="Y28" s="1138">
        <v>2204</v>
      </c>
      <c r="Z28" s="1139"/>
      <c r="AA28" s="1138"/>
      <c r="AB28" s="1139"/>
      <c r="AC28" s="1140"/>
      <c r="AD28" s="1137">
        <v>110.8</v>
      </c>
      <c r="AE28" s="1138">
        <v>25</v>
      </c>
      <c r="AF28" s="1139"/>
      <c r="AG28" s="1138"/>
      <c r="AH28" s="1139"/>
      <c r="AI28" s="1140"/>
      <c r="AJ28" s="1137"/>
      <c r="AK28" s="1138"/>
      <c r="AL28" s="1139"/>
      <c r="AM28" s="1138"/>
      <c r="AN28" s="1139">
        <v>11517.07</v>
      </c>
      <c r="AO28" s="1138">
        <v>13610</v>
      </c>
      <c r="AP28" s="1139"/>
      <c r="AQ28" s="1138"/>
      <c r="AR28" s="1139">
        <v>12.55</v>
      </c>
      <c r="AS28" s="1138">
        <v>38</v>
      </c>
      <c r="AT28" s="1139">
        <v>865.18</v>
      </c>
      <c r="AU28" s="1138">
        <v>754</v>
      </c>
      <c r="AV28" s="1139">
        <f t="shared" si="0"/>
        <v>21914.179999999997</v>
      </c>
      <c r="AW28" s="1138">
        <f t="shared" si="0"/>
        <v>19486</v>
      </c>
      <c r="AX28" s="1139">
        <v>1698.98</v>
      </c>
      <c r="AY28" s="1138">
        <v>1594</v>
      </c>
      <c r="AZ28" s="1139">
        <f t="shared" si="1"/>
        <v>23613.159999999996</v>
      </c>
      <c r="BA28" s="1140">
        <f t="shared" si="1"/>
        <v>21080</v>
      </c>
    </row>
    <row r="29" spans="1:53" x14ac:dyDescent="0.3">
      <c r="A29" s="399" t="s">
        <v>301</v>
      </c>
      <c r="B29" s="1141">
        <v>34632549</v>
      </c>
      <c r="C29" s="1142">
        <v>130131</v>
      </c>
      <c r="D29" s="1139"/>
      <c r="E29" s="1138"/>
      <c r="F29" s="1139"/>
      <c r="G29" s="1138"/>
      <c r="H29" s="1139"/>
      <c r="I29" s="1138"/>
      <c r="J29" s="1139"/>
      <c r="K29" s="1138"/>
      <c r="L29" s="1139"/>
      <c r="M29" s="1140"/>
      <c r="N29" s="1137"/>
      <c r="O29" s="1140"/>
      <c r="P29" s="1137"/>
      <c r="Q29" s="1140"/>
      <c r="R29" s="1137"/>
      <c r="S29" s="1140"/>
      <c r="T29" s="1137"/>
      <c r="U29" s="1140"/>
      <c r="V29" s="1137"/>
      <c r="W29" s="1140"/>
      <c r="X29" s="1137"/>
      <c r="Y29" s="1138"/>
      <c r="Z29" s="1139"/>
      <c r="AA29" s="1138"/>
      <c r="AB29" s="1139"/>
      <c r="AC29" s="1140"/>
      <c r="AD29" s="1137"/>
      <c r="AE29" s="1138"/>
      <c r="AF29" s="1139"/>
      <c r="AG29" s="1138"/>
      <c r="AH29" s="1139"/>
      <c r="AI29" s="1140"/>
      <c r="AJ29" s="1137"/>
      <c r="AK29" s="1138"/>
      <c r="AL29" s="1139"/>
      <c r="AM29" s="1138"/>
      <c r="AN29" s="1139"/>
      <c r="AO29" s="1138"/>
      <c r="AP29" s="1139"/>
      <c r="AQ29" s="1138"/>
      <c r="AR29" s="1139"/>
      <c r="AS29" s="1138"/>
      <c r="AT29" s="1139"/>
      <c r="AU29" s="1138"/>
      <c r="AV29" s="1139">
        <f t="shared" si="0"/>
        <v>34632549</v>
      </c>
      <c r="AW29" s="1138">
        <f t="shared" si="0"/>
        <v>130131</v>
      </c>
      <c r="AX29" s="1139"/>
      <c r="AY29" s="1138"/>
      <c r="AZ29" s="1139">
        <f t="shared" si="1"/>
        <v>34632549</v>
      </c>
      <c r="BA29" s="1140">
        <f t="shared" si="1"/>
        <v>130131</v>
      </c>
    </row>
    <row r="30" spans="1:53" x14ac:dyDescent="0.3">
      <c r="A30" s="399" t="s">
        <v>302</v>
      </c>
      <c r="B30" s="1141"/>
      <c r="C30" s="1142"/>
      <c r="D30" s="1139"/>
      <c r="E30" s="1138"/>
      <c r="F30" s="1139"/>
      <c r="G30" s="1138"/>
      <c r="H30" s="1139"/>
      <c r="I30" s="1138"/>
      <c r="J30" s="1139"/>
      <c r="K30" s="1138"/>
      <c r="L30" s="1139"/>
      <c r="M30" s="1140"/>
      <c r="N30" s="1137"/>
      <c r="O30" s="1140"/>
      <c r="P30" s="1137"/>
      <c r="Q30" s="1140"/>
      <c r="R30" s="1137"/>
      <c r="S30" s="1140"/>
      <c r="T30" s="1137"/>
      <c r="U30" s="1140"/>
      <c r="V30" s="1137"/>
      <c r="W30" s="1140"/>
      <c r="X30" s="1137"/>
      <c r="Y30" s="1138"/>
      <c r="Z30" s="1139"/>
      <c r="AA30" s="1138"/>
      <c r="AB30" s="1139"/>
      <c r="AC30" s="1140"/>
      <c r="AD30" s="1137"/>
      <c r="AE30" s="1138"/>
      <c r="AF30" s="1139"/>
      <c r="AG30" s="1138"/>
      <c r="AH30" s="1139"/>
      <c r="AI30" s="1140"/>
      <c r="AJ30" s="1137"/>
      <c r="AK30" s="1138"/>
      <c r="AL30" s="1139"/>
      <c r="AM30" s="1138"/>
      <c r="AN30" s="1139"/>
      <c r="AO30" s="1138"/>
      <c r="AP30" s="1139"/>
      <c r="AQ30" s="1138"/>
      <c r="AR30" s="1139"/>
      <c r="AS30" s="1138"/>
      <c r="AT30" s="1139"/>
      <c r="AU30" s="1138"/>
      <c r="AV30" s="1139">
        <f t="shared" si="0"/>
        <v>0</v>
      </c>
      <c r="AW30" s="1138">
        <f t="shared" si="0"/>
        <v>0</v>
      </c>
      <c r="AX30" s="1139"/>
      <c r="AY30" s="1138"/>
      <c r="AZ30" s="1139">
        <f t="shared" si="1"/>
        <v>0</v>
      </c>
      <c r="BA30" s="1140">
        <f t="shared" si="1"/>
        <v>0</v>
      </c>
    </row>
    <row r="31" spans="1:53" x14ac:dyDescent="0.3">
      <c r="A31" s="1205" t="s">
        <v>282</v>
      </c>
      <c r="B31" s="1141"/>
      <c r="C31" s="1142"/>
      <c r="D31" s="1139"/>
      <c r="E31" s="1138"/>
      <c r="F31" s="1139"/>
      <c r="G31" s="1138"/>
      <c r="H31" s="1139">
        <v>108965.52</v>
      </c>
      <c r="I31" s="1138">
        <v>116056</v>
      </c>
      <c r="J31" s="1139">
        <v>12476.44</v>
      </c>
      <c r="K31" s="1138">
        <v>17038</v>
      </c>
      <c r="L31" s="1139">
        <v>52084.85</v>
      </c>
      <c r="M31" s="1140">
        <v>67447</v>
      </c>
      <c r="N31" s="1137"/>
      <c r="O31" s="1140"/>
      <c r="P31" s="1137">
        <v>683.7</v>
      </c>
      <c r="Q31" s="1140">
        <v>1003</v>
      </c>
      <c r="R31" s="1137"/>
      <c r="S31" s="1140"/>
      <c r="T31" s="1137">
        <v>28270.22</v>
      </c>
      <c r="U31" s="1140">
        <v>31419</v>
      </c>
      <c r="V31" s="1137">
        <v>92489.98</v>
      </c>
      <c r="W31" s="1140">
        <v>92658</v>
      </c>
      <c r="X31" s="1137"/>
      <c r="Y31" s="1138"/>
      <c r="Z31" s="1139"/>
      <c r="AA31" s="1138"/>
      <c r="AB31" s="1139">
        <v>23528.79</v>
      </c>
      <c r="AC31" s="1140">
        <v>29692.18</v>
      </c>
      <c r="AD31" s="1137"/>
      <c r="AE31" s="1138"/>
      <c r="AF31" s="1139"/>
      <c r="AG31" s="1138"/>
      <c r="AH31" s="1139"/>
      <c r="AI31" s="1140"/>
      <c r="AJ31" s="1137"/>
      <c r="AK31" s="1138"/>
      <c r="AL31" s="1139"/>
      <c r="AM31" s="1138"/>
      <c r="AN31" s="1139"/>
      <c r="AO31" s="1138"/>
      <c r="AP31" s="1139"/>
      <c r="AQ31" s="1138"/>
      <c r="AR31" s="1139"/>
      <c r="AS31" s="1138"/>
      <c r="AT31" s="1139"/>
      <c r="AU31" s="1138"/>
      <c r="AV31" s="1139">
        <f t="shared" si="0"/>
        <v>318499.5</v>
      </c>
      <c r="AW31" s="1138">
        <f t="shared" si="0"/>
        <v>355313.18</v>
      </c>
      <c r="AX31" s="1139"/>
      <c r="AY31" s="1138"/>
      <c r="AZ31" s="1139">
        <f t="shared" si="1"/>
        <v>318499.5</v>
      </c>
      <c r="BA31" s="1140">
        <f t="shared" si="1"/>
        <v>355313.18</v>
      </c>
    </row>
    <row r="32" spans="1:53" x14ac:dyDescent="0.3">
      <c r="A32" s="399" t="s">
        <v>232</v>
      </c>
      <c r="B32" s="1141"/>
      <c r="C32" s="1142"/>
      <c r="D32" s="1139"/>
      <c r="E32" s="1138"/>
      <c r="F32" s="1139"/>
      <c r="G32" s="1138"/>
      <c r="H32" s="1139"/>
      <c r="I32" s="1138"/>
      <c r="J32" s="1139"/>
      <c r="K32" s="1138"/>
      <c r="L32" s="1139"/>
      <c r="M32" s="1140"/>
      <c r="N32" s="1137"/>
      <c r="O32" s="1140"/>
      <c r="P32" s="1137"/>
      <c r="Q32" s="1140"/>
      <c r="R32" s="1137">
        <v>478</v>
      </c>
      <c r="S32" s="1140">
        <v>79</v>
      </c>
      <c r="T32" s="1137"/>
      <c r="U32" s="1140"/>
      <c r="V32" s="1137"/>
      <c r="W32" s="1140"/>
      <c r="X32" s="1137"/>
      <c r="Y32" s="1138"/>
      <c r="Z32" s="1139">
        <v>6</v>
      </c>
      <c r="AA32" s="1138">
        <v>9</v>
      </c>
      <c r="AB32" s="1139"/>
      <c r="AC32" s="1140"/>
      <c r="AD32" s="1137">
        <v>29468.62</v>
      </c>
      <c r="AE32" s="1138">
        <v>33873</v>
      </c>
      <c r="AF32" s="1139"/>
      <c r="AG32" s="1138"/>
      <c r="AH32" s="1139"/>
      <c r="AI32" s="1140"/>
      <c r="AJ32" s="1137"/>
      <c r="AK32" s="1138"/>
      <c r="AL32" s="1139"/>
      <c r="AM32" s="1138"/>
      <c r="AN32" s="1139">
        <v>99546.41</v>
      </c>
      <c r="AO32" s="1138">
        <v>116587</v>
      </c>
      <c r="AP32" s="1139">
        <v>231.08</v>
      </c>
      <c r="AQ32" s="1138">
        <v>131.63999999999999</v>
      </c>
      <c r="AR32" s="1139"/>
      <c r="AS32" s="1138"/>
      <c r="AT32" s="1139"/>
      <c r="AU32" s="1138"/>
      <c r="AV32" s="1139">
        <f t="shared" si="0"/>
        <v>129730.11</v>
      </c>
      <c r="AW32" s="1138">
        <f t="shared" si="0"/>
        <v>150679.64000000001</v>
      </c>
      <c r="AX32" s="1139"/>
      <c r="AY32" s="1138"/>
      <c r="AZ32" s="1139">
        <f t="shared" si="1"/>
        <v>129730.11</v>
      </c>
      <c r="BA32" s="1140">
        <f t="shared" si="1"/>
        <v>150679.64000000001</v>
      </c>
    </row>
    <row r="33" spans="1:53" x14ac:dyDescent="0.3">
      <c r="A33" s="399" t="s">
        <v>283</v>
      </c>
      <c r="B33" s="1141"/>
      <c r="C33" s="1142"/>
      <c r="D33" s="1139">
        <v>19878.25</v>
      </c>
      <c r="E33" s="1138">
        <v>21960</v>
      </c>
      <c r="F33" s="1139"/>
      <c r="G33" s="1138"/>
      <c r="H33" s="1139"/>
      <c r="I33" s="1138"/>
      <c r="J33" s="1139"/>
      <c r="K33" s="1138"/>
      <c r="L33" s="1139"/>
      <c r="M33" s="1140"/>
      <c r="N33" s="1137"/>
      <c r="O33" s="1140"/>
      <c r="P33" s="1137"/>
      <c r="Q33" s="1140"/>
      <c r="R33" s="1137">
        <v>250</v>
      </c>
      <c r="S33" s="1140"/>
      <c r="T33" s="1137"/>
      <c r="U33" s="1140"/>
      <c r="V33" s="1137"/>
      <c r="W33" s="1140"/>
      <c r="X33" s="1137">
        <v>121893</v>
      </c>
      <c r="Y33" s="1138">
        <v>148227</v>
      </c>
      <c r="Z33" s="1139">
        <v>2431</v>
      </c>
      <c r="AA33" s="1138">
        <v>2896</v>
      </c>
      <c r="AB33" s="1139"/>
      <c r="AC33" s="1140"/>
      <c r="AD33" s="1137"/>
      <c r="AE33" s="1138"/>
      <c r="AF33" s="1139">
        <v>307068</v>
      </c>
      <c r="AG33" s="1138">
        <v>338855</v>
      </c>
      <c r="AH33" s="1139"/>
      <c r="AI33" s="1140"/>
      <c r="AJ33" s="1137">
        <v>37349.46</v>
      </c>
      <c r="AK33" s="1138">
        <v>38372</v>
      </c>
      <c r="AL33" s="1139"/>
      <c r="AM33" s="1138"/>
      <c r="AN33" s="1139"/>
      <c r="AO33" s="1138"/>
      <c r="AP33" s="1139">
        <v>253.86</v>
      </c>
      <c r="AQ33" s="1138">
        <v>2734.63</v>
      </c>
      <c r="AR33" s="1139"/>
      <c r="AS33" s="1138"/>
      <c r="AT33" s="1139"/>
      <c r="AU33" s="1138"/>
      <c r="AV33" s="1139">
        <f t="shared" si="0"/>
        <v>489123.57</v>
      </c>
      <c r="AW33" s="1138">
        <f t="shared" si="0"/>
        <v>553044.63</v>
      </c>
      <c r="AX33" s="1139"/>
      <c r="AY33" s="1138"/>
      <c r="AZ33" s="1139">
        <f t="shared" si="1"/>
        <v>489123.57</v>
      </c>
      <c r="BA33" s="1140">
        <f t="shared" si="1"/>
        <v>553044.63</v>
      </c>
    </row>
    <row r="34" spans="1:53" x14ac:dyDescent="0.3">
      <c r="A34" s="399" t="s">
        <v>74</v>
      </c>
      <c r="B34" s="1141"/>
      <c r="C34" s="1142"/>
      <c r="D34" s="1139"/>
      <c r="E34" s="1138"/>
      <c r="F34" s="1139">
        <v>8563.61</v>
      </c>
      <c r="G34" s="1138">
        <v>8673</v>
      </c>
      <c r="H34" s="1139"/>
      <c r="I34" s="1138"/>
      <c r="J34" s="1139"/>
      <c r="K34" s="1138"/>
      <c r="L34" s="1139"/>
      <c r="M34" s="1140"/>
      <c r="N34" s="1137">
        <v>1826</v>
      </c>
      <c r="O34" s="1140">
        <v>4229</v>
      </c>
      <c r="P34" s="1137">
        <v>21</v>
      </c>
      <c r="Q34" s="1140">
        <v>36</v>
      </c>
      <c r="R34" s="1137">
        <v>39394</v>
      </c>
      <c r="S34" s="1140">
        <v>40458</v>
      </c>
      <c r="T34" s="1137"/>
      <c r="U34" s="1140"/>
      <c r="V34" s="1137"/>
      <c r="W34" s="1140"/>
      <c r="X34" s="1137">
        <v>1</v>
      </c>
      <c r="Y34" s="1138"/>
      <c r="Z34" s="1139">
        <v>10115</v>
      </c>
      <c r="AA34" s="1138">
        <v>15071</v>
      </c>
      <c r="AB34" s="1139"/>
      <c r="AC34" s="1140"/>
      <c r="AD34" s="1137">
        <v>2840.42</v>
      </c>
      <c r="AE34" s="1138">
        <v>-2113</v>
      </c>
      <c r="AF34" s="1139"/>
      <c r="AG34" s="1138"/>
      <c r="AH34" s="1139">
        <v>75565.64</v>
      </c>
      <c r="AI34" s="1140">
        <v>83758</v>
      </c>
      <c r="AJ34" s="1137"/>
      <c r="AK34" s="1138"/>
      <c r="AL34" s="1139"/>
      <c r="AM34" s="1138"/>
      <c r="AN34" s="1139"/>
      <c r="AO34" s="1138"/>
      <c r="AP34" s="1139">
        <v>3531.62</v>
      </c>
      <c r="AQ34" s="1138">
        <v>2465.8000000000002</v>
      </c>
      <c r="AR34" s="1139">
        <f>24244.02+5855.63</f>
        <v>30099.65</v>
      </c>
      <c r="AS34" s="1138">
        <f>27214+2498</f>
        <v>29712</v>
      </c>
      <c r="AT34" s="1139">
        <f>741+101722</f>
        <v>102463</v>
      </c>
      <c r="AU34" s="1138">
        <f>28901+104983</f>
        <v>133884</v>
      </c>
      <c r="AV34" s="1139">
        <f t="shared" si="0"/>
        <v>274420.93999999994</v>
      </c>
      <c r="AW34" s="1138">
        <f t="shared" si="0"/>
        <v>316173.8</v>
      </c>
      <c r="AX34" s="1139">
        <v>333.99</v>
      </c>
      <c r="AY34" s="1138">
        <v>410267</v>
      </c>
      <c r="AZ34" s="1139">
        <f t="shared" si="1"/>
        <v>274754.92999999993</v>
      </c>
      <c r="BA34" s="1140">
        <f t="shared" si="1"/>
        <v>726440.8</v>
      </c>
    </row>
    <row r="35" spans="1:53" s="1130" customFormat="1" ht="16.5" x14ac:dyDescent="0.35">
      <c r="A35" s="1205" t="s">
        <v>284</v>
      </c>
      <c r="B35" s="1144">
        <v>5489468.9000000004</v>
      </c>
      <c r="C35" s="1145">
        <v>6129112</v>
      </c>
      <c r="D35" s="1148">
        <v>566043</v>
      </c>
      <c r="E35" s="1151">
        <v>638250</v>
      </c>
      <c r="F35" s="1148">
        <v>1248849.19</v>
      </c>
      <c r="G35" s="1151">
        <v>1300927</v>
      </c>
      <c r="H35" s="1148">
        <v>7806501</v>
      </c>
      <c r="I35" s="1151">
        <v>8427013</v>
      </c>
      <c r="J35" s="1148">
        <v>1279490.68</v>
      </c>
      <c r="K35" s="1151">
        <v>1490858</v>
      </c>
      <c r="L35" s="1148">
        <v>2318388.92</v>
      </c>
      <c r="M35" s="1149">
        <v>2606328</v>
      </c>
      <c r="N35" s="1150">
        <v>612794</v>
      </c>
      <c r="O35" s="1149">
        <v>677106</v>
      </c>
      <c r="P35" s="1150">
        <v>629199.76</v>
      </c>
      <c r="Q35" s="1149">
        <v>761615</v>
      </c>
      <c r="R35" s="1150">
        <v>1965963.62</v>
      </c>
      <c r="S35" s="1149">
        <v>2142692</v>
      </c>
      <c r="T35" s="1150">
        <v>747599.41</v>
      </c>
      <c r="U35" s="1149">
        <v>866314</v>
      </c>
      <c r="V35" s="1150">
        <v>18070963.399999999</v>
      </c>
      <c r="W35" s="1149">
        <v>19994476</v>
      </c>
      <c r="X35" s="1150">
        <v>22249393</v>
      </c>
      <c r="Y35" s="1151">
        <v>22907414</v>
      </c>
      <c r="Z35" s="1148">
        <v>1262904.1000000001</v>
      </c>
      <c r="AA35" s="1151">
        <v>1397870</v>
      </c>
      <c r="AB35" s="1148">
        <v>1806368.39</v>
      </c>
      <c r="AC35" s="1149">
        <v>1912326.34</v>
      </c>
      <c r="AD35" s="1150">
        <v>4778474</v>
      </c>
      <c r="AE35" s="1151">
        <v>5440617</v>
      </c>
      <c r="AF35" s="1148">
        <v>9428963.1099999994</v>
      </c>
      <c r="AG35" s="1151">
        <v>10769308</v>
      </c>
      <c r="AH35" s="1148">
        <v>3047920.11</v>
      </c>
      <c r="AI35" s="1149">
        <v>3529356</v>
      </c>
      <c r="AJ35" s="1150">
        <v>2570167.9</v>
      </c>
      <c r="AK35" s="1151">
        <v>2800805</v>
      </c>
      <c r="AL35" s="1148"/>
      <c r="AM35" s="1151"/>
      <c r="AN35" s="1148">
        <v>23281505.710000001</v>
      </c>
      <c r="AO35" s="1151">
        <v>26506319</v>
      </c>
      <c r="AP35" s="1148">
        <v>677626.67</v>
      </c>
      <c r="AQ35" s="1151">
        <v>812062</v>
      </c>
      <c r="AR35" s="1148">
        <v>1265041.3600000001</v>
      </c>
      <c r="AS35" s="1151">
        <v>1564264</v>
      </c>
      <c r="AT35" s="1148">
        <v>4963058.04</v>
      </c>
      <c r="AU35" s="1151">
        <v>5746711</v>
      </c>
      <c r="AV35" s="1148">
        <f t="shared" si="0"/>
        <v>116066684.27000003</v>
      </c>
      <c r="AW35" s="1151">
        <f t="shared" si="0"/>
        <v>128421743.34</v>
      </c>
      <c r="AX35" s="1148">
        <v>38617948.115999997</v>
      </c>
      <c r="AY35" s="1151">
        <v>415207556</v>
      </c>
      <c r="AZ35" s="1148">
        <f t="shared" si="1"/>
        <v>154684632.38600004</v>
      </c>
      <c r="BA35" s="1149">
        <f t="shared" si="1"/>
        <v>543629299.34000003</v>
      </c>
    </row>
    <row r="36" spans="1:53" x14ac:dyDescent="0.3">
      <c r="A36" s="1205" t="s">
        <v>285</v>
      </c>
      <c r="B36" s="1141"/>
      <c r="C36" s="1142"/>
      <c r="D36" s="1139"/>
      <c r="E36" s="1138"/>
      <c r="F36" s="1139"/>
      <c r="G36" s="1138"/>
      <c r="H36" s="1139"/>
      <c r="I36" s="1138"/>
      <c r="J36" s="1139"/>
      <c r="K36" s="1138"/>
      <c r="L36" s="1139"/>
      <c r="M36" s="1140"/>
      <c r="N36" s="1137"/>
      <c r="O36" s="1140"/>
      <c r="P36" s="1137"/>
      <c r="Q36" s="1140"/>
      <c r="R36" s="1137"/>
      <c r="S36" s="1140"/>
      <c r="T36" s="1137"/>
      <c r="U36" s="1140"/>
      <c r="V36" s="1137"/>
      <c r="W36" s="1140"/>
      <c r="X36" s="1137"/>
      <c r="Y36" s="1138"/>
      <c r="Z36" s="1139"/>
      <c r="AA36" s="1138"/>
      <c r="AB36" s="1139"/>
      <c r="AC36" s="1140"/>
      <c r="AD36" s="1137"/>
      <c r="AE36" s="1138"/>
      <c r="AF36" s="1139"/>
      <c r="AG36" s="1138"/>
      <c r="AH36" s="1139"/>
      <c r="AI36" s="1140"/>
      <c r="AJ36" s="1137"/>
      <c r="AK36" s="1138"/>
      <c r="AL36" s="1139"/>
      <c r="AM36" s="1138"/>
      <c r="AN36" s="1139"/>
      <c r="AO36" s="1138"/>
      <c r="AP36" s="1139"/>
      <c r="AQ36" s="1138"/>
      <c r="AR36" s="1139"/>
      <c r="AS36" s="1138"/>
      <c r="AT36" s="1139"/>
      <c r="AU36" s="1138"/>
      <c r="AV36" s="1139">
        <f t="shared" si="0"/>
        <v>0</v>
      </c>
      <c r="AW36" s="1138">
        <f t="shared" si="0"/>
        <v>0</v>
      </c>
      <c r="AX36" s="1139"/>
      <c r="AY36" s="1138"/>
      <c r="AZ36" s="1139">
        <f t="shared" si="1"/>
        <v>0</v>
      </c>
      <c r="BA36" s="1140">
        <f t="shared" si="1"/>
        <v>0</v>
      </c>
    </row>
    <row r="37" spans="1:53" x14ac:dyDescent="0.3">
      <c r="A37" s="1205" t="s">
        <v>286</v>
      </c>
      <c r="B37" s="1141"/>
      <c r="C37" s="1142"/>
      <c r="D37" s="1139"/>
      <c r="E37" s="1138"/>
      <c r="F37" s="1139"/>
      <c r="G37" s="1138"/>
      <c r="H37" s="1139"/>
      <c r="I37" s="1138"/>
      <c r="J37" s="1139"/>
      <c r="K37" s="1138"/>
      <c r="L37" s="1139"/>
      <c r="M37" s="1140"/>
      <c r="N37" s="1137"/>
      <c r="O37" s="1140"/>
      <c r="P37" s="1137"/>
      <c r="Q37" s="1140"/>
      <c r="R37" s="1137"/>
      <c r="S37" s="1140"/>
      <c r="T37" s="1137"/>
      <c r="U37" s="1140"/>
      <c r="V37" s="1137"/>
      <c r="W37" s="1140"/>
      <c r="X37" s="1137"/>
      <c r="Y37" s="1138"/>
      <c r="Z37" s="1139"/>
      <c r="AA37" s="1138"/>
      <c r="AB37" s="1139"/>
      <c r="AC37" s="1140"/>
      <c r="AD37" s="1137"/>
      <c r="AE37" s="1138"/>
      <c r="AF37" s="1139"/>
      <c r="AG37" s="1138"/>
      <c r="AH37" s="1139"/>
      <c r="AI37" s="1140"/>
      <c r="AJ37" s="1137"/>
      <c r="AK37" s="1138"/>
      <c r="AL37" s="1139"/>
      <c r="AM37" s="1138"/>
      <c r="AN37" s="1139"/>
      <c r="AO37" s="1138"/>
      <c r="AP37" s="1139"/>
      <c r="AQ37" s="1138"/>
      <c r="AR37" s="1139"/>
      <c r="AS37" s="1138"/>
      <c r="AT37" s="1139"/>
      <c r="AU37" s="1138"/>
      <c r="AV37" s="1139">
        <f t="shared" si="0"/>
        <v>0</v>
      </c>
      <c r="AW37" s="1138">
        <f t="shared" si="0"/>
        <v>0</v>
      </c>
      <c r="AX37" s="1139"/>
      <c r="AY37" s="1138"/>
      <c r="AZ37" s="1139">
        <f t="shared" si="1"/>
        <v>0</v>
      </c>
      <c r="BA37" s="1140">
        <f t="shared" si="1"/>
        <v>0</v>
      </c>
    </row>
    <row r="38" spans="1:53" x14ac:dyDescent="0.3">
      <c r="A38" s="399" t="s">
        <v>402</v>
      </c>
      <c r="B38" s="1141">
        <v>246327.31</v>
      </c>
      <c r="C38" s="1142">
        <v>296511</v>
      </c>
      <c r="D38" s="1139">
        <v>12500.41</v>
      </c>
      <c r="E38" s="1138">
        <v>9310</v>
      </c>
      <c r="F38" s="1139">
        <v>61401.85</v>
      </c>
      <c r="G38" s="1138">
        <v>51807</v>
      </c>
      <c r="H38" s="1139">
        <v>1038213.45</v>
      </c>
      <c r="I38" s="1138">
        <v>1029219</v>
      </c>
      <c r="J38" s="1139">
        <v>58094.75</v>
      </c>
      <c r="K38" s="1138">
        <v>56341</v>
      </c>
      <c r="L38" s="1139">
        <v>130387</v>
      </c>
      <c r="M38" s="1140">
        <v>133615</v>
      </c>
      <c r="N38" s="1137">
        <v>85045</v>
      </c>
      <c r="O38" s="1140">
        <v>79373</v>
      </c>
      <c r="P38" s="1137">
        <v>19687.79</v>
      </c>
      <c r="Q38" s="1140">
        <v>31040</v>
      </c>
      <c r="R38" s="1137">
        <v>116321.16</v>
      </c>
      <c r="S38" s="1140">
        <v>119049</v>
      </c>
      <c r="T38" s="1137">
        <v>11602.96</v>
      </c>
      <c r="U38" s="1140">
        <v>21226</v>
      </c>
      <c r="V38" s="1137">
        <v>897065.73</v>
      </c>
      <c r="W38" s="1140">
        <v>1571214</v>
      </c>
      <c r="X38" s="1137">
        <v>923190.8</v>
      </c>
      <c r="Y38" s="1138">
        <v>899201</v>
      </c>
      <c r="Z38" s="1139">
        <v>72697.320000000007</v>
      </c>
      <c r="AA38" s="1138">
        <v>80095</v>
      </c>
      <c r="AB38" s="1139">
        <v>70683.31</v>
      </c>
      <c r="AC38" s="1140">
        <v>50416.959999999999</v>
      </c>
      <c r="AD38" s="1137">
        <v>399572.29</v>
      </c>
      <c r="AE38" s="1138">
        <v>429033</v>
      </c>
      <c r="AF38" s="1139">
        <v>327412.65999999997</v>
      </c>
      <c r="AG38" s="1138">
        <v>435237</v>
      </c>
      <c r="AH38" s="1139">
        <v>138580.76999999999</v>
      </c>
      <c r="AI38" s="1140">
        <v>172544</v>
      </c>
      <c r="AJ38" s="1137">
        <v>129888.03</v>
      </c>
      <c r="AK38" s="1138">
        <v>136980</v>
      </c>
      <c r="AL38" s="1139"/>
      <c r="AM38" s="1138"/>
      <c r="AN38" s="1139">
        <v>948035.07</v>
      </c>
      <c r="AO38" s="1138">
        <v>1080507</v>
      </c>
      <c r="AP38" s="1139">
        <v>68907.02</v>
      </c>
      <c r="AQ38" s="1138">
        <v>68833</v>
      </c>
      <c r="AR38" s="1139">
        <v>66914.3</v>
      </c>
      <c r="AS38" s="1138">
        <v>79850</v>
      </c>
      <c r="AT38" s="1139">
        <v>219506.35</v>
      </c>
      <c r="AU38" s="1138">
        <v>225294</v>
      </c>
      <c r="AV38" s="1139">
        <f t="shared" si="0"/>
        <v>6042035.3299999991</v>
      </c>
      <c r="AW38" s="1138">
        <f t="shared" si="0"/>
        <v>7056695.96</v>
      </c>
      <c r="AX38" s="1139">
        <v>160643.46</v>
      </c>
      <c r="AY38" s="1138">
        <v>1043687</v>
      </c>
      <c r="AZ38" s="1139">
        <f t="shared" si="1"/>
        <v>6202678.7899999991</v>
      </c>
      <c r="BA38" s="1140">
        <f t="shared" si="1"/>
        <v>8100382.96</v>
      </c>
    </row>
    <row r="39" spans="1:53" x14ac:dyDescent="0.3">
      <c r="A39" s="399" t="s">
        <v>403</v>
      </c>
      <c r="B39" s="1141">
        <v>2314648.0499999998</v>
      </c>
      <c r="C39" s="1142">
        <v>2920228</v>
      </c>
      <c r="D39" s="1139">
        <v>207394.7</v>
      </c>
      <c r="E39" s="1138">
        <v>258866</v>
      </c>
      <c r="F39" s="1139">
        <v>667568.68999999994</v>
      </c>
      <c r="G39" s="1138">
        <v>751156</v>
      </c>
      <c r="H39" s="1139">
        <v>3587716.75</v>
      </c>
      <c r="I39" s="1138">
        <v>4147313</v>
      </c>
      <c r="J39" s="1139">
        <v>759632.09</v>
      </c>
      <c r="K39" s="1138">
        <v>923716</v>
      </c>
      <c r="L39" s="1139">
        <v>949553.68</v>
      </c>
      <c r="M39" s="1140">
        <v>1274475</v>
      </c>
      <c r="N39" s="1137">
        <v>449913</v>
      </c>
      <c r="O39" s="1140">
        <v>517183</v>
      </c>
      <c r="P39" s="1137">
        <v>274575.25</v>
      </c>
      <c r="Q39" s="1140">
        <v>354536</v>
      </c>
      <c r="R39" s="1137">
        <v>1482511.4</v>
      </c>
      <c r="S39" s="1140">
        <v>1664365</v>
      </c>
      <c r="T39" s="1137">
        <v>451522.41</v>
      </c>
      <c r="U39" s="1140">
        <v>544260</v>
      </c>
      <c r="V39" s="1137">
        <v>9412625.2200000007</v>
      </c>
      <c r="W39" s="1140">
        <v>11076337</v>
      </c>
      <c r="X39" s="1137">
        <v>6684790.8799999999</v>
      </c>
      <c r="Y39" s="1138">
        <v>7989128</v>
      </c>
      <c r="Z39" s="1139">
        <v>757265.07</v>
      </c>
      <c r="AA39" s="1138">
        <v>881232</v>
      </c>
      <c r="AB39" s="1139">
        <v>1066857.4099999999</v>
      </c>
      <c r="AC39" s="1140">
        <v>1117711.6399999999</v>
      </c>
      <c r="AD39" s="1137">
        <v>2397659.19</v>
      </c>
      <c r="AE39" s="1138">
        <v>2989184</v>
      </c>
      <c r="AF39" s="1139">
        <v>6067507.5199999996</v>
      </c>
      <c r="AG39" s="1138">
        <v>7102398</v>
      </c>
      <c r="AH39" s="1139">
        <v>2096923.66</v>
      </c>
      <c r="AI39" s="1140">
        <v>2517336</v>
      </c>
      <c r="AJ39" s="1137">
        <v>1758023.72</v>
      </c>
      <c r="AK39" s="1138">
        <v>1993344</v>
      </c>
      <c r="AL39" s="1139"/>
      <c r="AM39" s="1138"/>
      <c r="AN39" s="1139">
        <v>9722647.4199999999</v>
      </c>
      <c r="AO39" s="1138">
        <v>11311013</v>
      </c>
      <c r="AP39" s="1139">
        <v>531826.82999999996</v>
      </c>
      <c r="AQ39" s="1138">
        <v>674797</v>
      </c>
      <c r="AR39" s="1139">
        <v>913965.2</v>
      </c>
      <c r="AS39" s="1138">
        <v>1202196</v>
      </c>
      <c r="AT39" s="1139">
        <v>2864455.81</v>
      </c>
      <c r="AU39" s="1138">
        <v>3661199</v>
      </c>
      <c r="AV39" s="1139">
        <f t="shared" si="0"/>
        <v>55419583.950000003</v>
      </c>
      <c r="AW39" s="1138">
        <f t="shared" si="0"/>
        <v>65871973.640000001</v>
      </c>
      <c r="AX39" s="1139">
        <v>36278577.523000002</v>
      </c>
      <c r="AY39" s="1138">
        <v>390868863</v>
      </c>
      <c r="AZ39" s="1139">
        <f t="shared" si="1"/>
        <v>91698161.473000005</v>
      </c>
      <c r="BA39" s="1140">
        <f t="shared" si="1"/>
        <v>456740836.63999999</v>
      </c>
    </row>
    <row r="40" spans="1:53" x14ac:dyDescent="0.3">
      <c r="A40" s="399" t="s">
        <v>404</v>
      </c>
      <c r="B40" s="1141">
        <v>2875586.37</v>
      </c>
      <c r="C40" s="1142">
        <v>2849299</v>
      </c>
      <c r="D40" s="1139">
        <v>106352.85</v>
      </c>
      <c r="E40" s="1138">
        <v>98194</v>
      </c>
      <c r="F40" s="1139">
        <v>376108.13</v>
      </c>
      <c r="G40" s="1138">
        <v>343942</v>
      </c>
      <c r="H40" s="1139">
        <v>3066556.47</v>
      </c>
      <c r="I40" s="1138">
        <v>3101534</v>
      </c>
      <c r="J40" s="1139">
        <v>152673.57999999999</v>
      </c>
      <c r="K40" s="1138">
        <v>160308</v>
      </c>
      <c r="L40" s="1139">
        <v>1229668.1200000001</v>
      </c>
      <c r="M40" s="1140">
        <v>1191508</v>
      </c>
      <c r="N40" s="1137">
        <v>41866</v>
      </c>
      <c r="O40" s="1140">
        <v>37533</v>
      </c>
      <c r="P40" s="1137">
        <v>148585.04</v>
      </c>
      <c r="Q40" s="1140">
        <v>158227</v>
      </c>
      <c r="R40" s="1137">
        <v>224586.91</v>
      </c>
      <c r="S40" s="1140">
        <v>214614</v>
      </c>
      <c r="T40" s="1137">
        <v>70851.740000000005</v>
      </c>
      <c r="U40" s="1140">
        <v>68680</v>
      </c>
      <c r="V40" s="1137">
        <v>7817550.5199999996</v>
      </c>
      <c r="W40" s="1140">
        <v>7364770</v>
      </c>
      <c r="X40" s="1137">
        <v>14508544.73</v>
      </c>
      <c r="Y40" s="1138">
        <v>13885102</v>
      </c>
      <c r="Z40" s="1139">
        <v>374899.21</v>
      </c>
      <c r="AA40" s="1138">
        <v>381405</v>
      </c>
      <c r="AB40" s="1139">
        <v>628321.28000000003</v>
      </c>
      <c r="AC40" s="1140">
        <v>675661</v>
      </c>
      <c r="AD40" s="1137">
        <v>2042434.78</v>
      </c>
      <c r="AE40" s="1138">
        <v>2110747</v>
      </c>
      <c r="AF40" s="1139">
        <v>2974775.88</v>
      </c>
      <c r="AG40" s="1138">
        <v>3176342</v>
      </c>
      <c r="AH40" s="1139">
        <v>735054.82</v>
      </c>
      <c r="AI40" s="1140">
        <v>744205</v>
      </c>
      <c r="AJ40" s="1137">
        <v>637149.65</v>
      </c>
      <c r="AK40" s="1138">
        <v>640131</v>
      </c>
      <c r="AL40" s="1139"/>
      <c r="AM40" s="1138"/>
      <c r="AN40" s="1139">
        <v>12265121.699999999</v>
      </c>
      <c r="AO40" s="1138">
        <v>13565928</v>
      </c>
      <c r="AP40" s="1139">
        <v>51203.88</v>
      </c>
      <c r="AQ40" s="1138">
        <v>42938</v>
      </c>
      <c r="AR40" s="1139">
        <v>261082.46</v>
      </c>
      <c r="AS40" s="1138">
        <v>253552</v>
      </c>
      <c r="AT40" s="1139">
        <v>1806236.23</v>
      </c>
      <c r="AU40" s="1138">
        <v>1867931</v>
      </c>
      <c r="AV40" s="1139">
        <f t="shared" si="0"/>
        <v>52395210.350000001</v>
      </c>
      <c r="AW40" s="1138">
        <f t="shared" si="0"/>
        <v>52932551</v>
      </c>
      <c r="AX40" s="1139">
        <v>3016878.69</v>
      </c>
      <c r="AY40" s="1138">
        <v>2262056</v>
      </c>
      <c r="AZ40" s="1139">
        <f t="shared" si="1"/>
        <v>55412089.039999999</v>
      </c>
      <c r="BA40" s="1140">
        <f t="shared" si="1"/>
        <v>55194607</v>
      </c>
    </row>
    <row r="41" spans="1:53" x14ac:dyDescent="0.3">
      <c r="A41" s="399" t="s">
        <v>405</v>
      </c>
      <c r="B41" s="1141">
        <v>23677</v>
      </c>
      <c r="C41" s="1142">
        <v>31972</v>
      </c>
      <c r="D41" s="1139">
        <v>7124.17</v>
      </c>
      <c r="E41" s="1138">
        <v>7527</v>
      </c>
      <c r="F41" s="1139"/>
      <c r="G41" s="1138"/>
      <c r="H41" s="1139">
        <v>48459.63</v>
      </c>
      <c r="I41" s="1138">
        <v>54016</v>
      </c>
      <c r="J41" s="1139">
        <v>2751.05</v>
      </c>
      <c r="K41" s="1138">
        <v>3374</v>
      </c>
      <c r="L41" s="1139">
        <v>423.54</v>
      </c>
      <c r="M41" s="1140">
        <v>1003</v>
      </c>
      <c r="N41" s="1137">
        <v>6895</v>
      </c>
      <c r="O41" s="1140">
        <v>9837</v>
      </c>
      <c r="P41" s="1137">
        <v>1597.69</v>
      </c>
      <c r="Q41" s="1140">
        <v>2330</v>
      </c>
      <c r="R41" s="1137">
        <v>54683.66</v>
      </c>
      <c r="S41" s="1140">
        <v>64949</v>
      </c>
      <c r="T41" s="1137">
        <v>2917.02</v>
      </c>
      <c r="U41" s="1140">
        <v>5504</v>
      </c>
      <c r="V41" s="1137">
        <v>47834.91</v>
      </c>
      <c r="W41" s="1140">
        <v>70345</v>
      </c>
      <c r="X41" s="1137">
        <v>71374.84</v>
      </c>
      <c r="Y41" s="1138">
        <v>100629</v>
      </c>
      <c r="Z41" s="1139">
        <v>1058.8</v>
      </c>
      <c r="AA41" s="1138">
        <v>1617</v>
      </c>
      <c r="AB41" s="1139">
        <v>1619.29</v>
      </c>
      <c r="AC41" s="1140">
        <v>2536</v>
      </c>
      <c r="AD41" s="1137">
        <v>6798.05</v>
      </c>
      <c r="AE41" s="1138">
        <v>8230</v>
      </c>
      <c r="AF41" s="1139">
        <v>56230.06</v>
      </c>
      <c r="AG41" s="1138">
        <v>82359</v>
      </c>
      <c r="AH41" s="1139">
        <v>9835.41</v>
      </c>
      <c r="AI41" s="1140">
        <v>18325</v>
      </c>
      <c r="AJ41" s="1137">
        <v>6685.57</v>
      </c>
      <c r="AK41" s="1138">
        <v>8867</v>
      </c>
      <c r="AL41" s="1139"/>
      <c r="AM41" s="1138"/>
      <c r="AN41" s="1139">
        <v>33449.22</v>
      </c>
      <c r="AO41" s="1138">
        <v>38171</v>
      </c>
      <c r="AP41" s="1139">
        <v>6732.62</v>
      </c>
      <c r="AQ41" s="1138">
        <v>9890</v>
      </c>
      <c r="AR41" s="1139">
        <v>1365.43</v>
      </c>
      <c r="AS41" s="1138">
        <v>1903</v>
      </c>
      <c r="AT41" s="1139">
        <v>48912.45</v>
      </c>
      <c r="AU41" s="1138">
        <v>51909</v>
      </c>
      <c r="AV41" s="1139">
        <f t="shared" si="0"/>
        <v>440425.40999999992</v>
      </c>
      <c r="AW41" s="1138">
        <f t="shared" si="0"/>
        <v>575293</v>
      </c>
      <c r="AX41" s="1139">
        <v>10795924.75</v>
      </c>
      <c r="AY41" s="1138">
        <v>11183722</v>
      </c>
      <c r="AZ41" s="1139">
        <f t="shared" si="1"/>
        <v>11236350.16</v>
      </c>
      <c r="BA41" s="1140">
        <f t="shared" si="1"/>
        <v>11759015</v>
      </c>
    </row>
    <row r="42" spans="1:53" x14ac:dyDescent="0.3">
      <c r="A42" s="399" t="s">
        <v>406</v>
      </c>
      <c r="B42" s="1141">
        <v>9213.76</v>
      </c>
      <c r="C42" s="1142">
        <v>11578</v>
      </c>
      <c r="D42" s="1139">
        <v>9402.6299999999992</v>
      </c>
      <c r="E42" s="1138">
        <v>6602</v>
      </c>
      <c r="F42" s="1139">
        <v>1329.08</v>
      </c>
      <c r="G42" s="1138">
        <v>945</v>
      </c>
      <c r="H42" s="1139">
        <v>37034.800000000003</v>
      </c>
      <c r="I42" s="1138">
        <v>40659</v>
      </c>
      <c r="J42" s="1139">
        <v>2074.6</v>
      </c>
      <c r="K42" s="1138">
        <v>8747</v>
      </c>
      <c r="L42" s="1139">
        <v>4457.58</v>
      </c>
      <c r="M42" s="1140">
        <v>4444</v>
      </c>
      <c r="N42" s="1137">
        <v>2311</v>
      </c>
      <c r="O42" s="1140">
        <v>1581</v>
      </c>
      <c r="P42" s="1137">
        <v>8831.07</v>
      </c>
      <c r="Q42" s="1140">
        <v>7764</v>
      </c>
      <c r="R42" s="1137">
        <v>2904.23</v>
      </c>
      <c r="S42" s="1140">
        <v>2225</v>
      </c>
      <c r="T42" s="1137">
        <v>7420.84</v>
      </c>
      <c r="U42" s="1140">
        <v>5455</v>
      </c>
      <c r="V42" s="1137">
        <v>33742.04</v>
      </c>
      <c r="W42" s="1140">
        <v>34602</v>
      </c>
      <c r="X42" s="1137">
        <v>45264.68</v>
      </c>
      <c r="Y42" s="1138">
        <v>51014</v>
      </c>
      <c r="Z42" s="1139">
        <v>12830.87</v>
      </c>
      <c r="AA42" s="1138">
        <v>14061</v>
      </c>
      <c r="AB42" s="1139">
        <v>2387.6999999999998</v>
      </c>
      <c r="AC42" s="1140">
        <v>1699</v>
      </c>
      <c r="AD42" s="1137">
        <v>8171.2</v>
      </c>
      <c r="AE42" s="1138">
        <v>8396</v>
      </c>
      <c r="AF42" s="1139">
        <v>23866.11</v>
      </c>
      <c r="AG42" s="1138">
        <v>27176</v>
      </c>
      <c r="AH42" s="1139">
        <v>12430.9</v>
      </c>
      <c r="AI42" s="1140">
        <v>12228</v>
      </c>
      <c r="AJ42" s="1137">
        <v>5431.78</v>
      </c>
      <c r="AK42" s="1138">
        <v>5371</v>
      </c>
      <c r="AL42" s="1139"/>
      <c r="AM42" s="1138"/>
      <c r="AN42" s="1139">
        <v>55953.88</v>
      </c>
      <c r="AO42" s="1138">
        <v>53246</v>
      </c>
      <c r="AP42" s="1139">
        <v>6227.92</v>
      </c>
      <c r="AQ42" s="1138">
        <v>4960</v>
      </c>
      <c r="AR42" s="1139">
        <v>2450.83</v>
      </c>
      <c r="AS42" s="1138">
        <v>3800</v>
      </c>
      <c r="AT42" s="1139">
        <v>19659.46</v>
      </c>
      <c r="AU42" s="1138">
        <v>27706</v>
      </c>
      <c r="AV42" s="1139">
        <f t="shared" si="0"/>
        <v>313396.96000000002</v>
      </c>
      <c r="AW42" s="1138">
        <f t="shared" si="0"/>
        <v>334259</v>
      </c>
      <c r="AX42" s="1139">
        <v>311341.76</v>
      </c>
      <c r="AY42" s="1138">
        <v>357326</v>
      </c>
      <c r="AZ42" s="1139">
        <f t="shared" si="1"/>
        <v>624738.72</v>
      </c>
      <c r="BA42" s="1140">
        <f t="shared" si="1"/>
        <v>691585</v>
      </c>
    </row>
    <row r="43" spans="1:53" x14ac:dyDescent="0.3">
      <c r="A43" s="1205" t="s">
        <v>287</v>
      </c>
      <c r="B43" s="1141"/>
      <c r="C43" s="1142"/>
      <c r="D43" s="1139"/>
      <c r="E43" s="1138"/>
      <c r="F43" s="1139"/>
      <c r="G43" s="1138"/>
      <c r="H43" s="1139"/>
      <c r="I43" s="1138"/>
      <c r="J43" s="1139"/>
      <c r="K43" s="1138"/>
      <c r="L43" s="1139"/>
      <c r="M43" s="1140"/>
      <c r="N43" s="1137"/>
      <c r="O43" s="1140"/>
      <c r="P43" s="1137"/>
      <c r="Q43" s="1140"/>
      <c r="R43" s="1137"/>
      <c r="S43" s="1140"/>
      <c r="T43" s="1137"/>
      <c r="U43" s="1140"/>
      <c r="V43" s="1137"/>
      <c r="W43" s="1140"/>
      <c r="X43" s="1137"/>
      <c r="Y43" s="1138"/>
      <c r="Z43" s="1139"/>
      <c r="AA43" s="1138"/>
      <c r="AB43" s="1139"/>
      <c r="AC43" s="1140"/>
      <c r="AD43" s="1137"/>
      <c r="AE43" s="1138"/>
      <c r="AF43" s="1139"/>
      <c r="AG43" s="1138"/>
      <c r="AH43" s="1139"/>
      <c r="AI43" s="1140"/>
      <c r="AJ43" s="1137"/>
      <c r="AK43" s="1138"/>
      <c r="AL43" s="1139"/>
      <c r="AM43" s="1138"/>
      <c r="AN43" s="1139"/>
      <c r="AO43" s="1138"/>
      <c r="AP43" s="1139"/>
      <c r="AQ43" s="1138"/>
      <c r="AR43" s="1139"/>
      <c r="AS43" s="1138"/>
      <c r="AT43" s="1139"/>
      <c r="AU43" s="1138"/>
      <c r="AV43" s="1139">
        <f t="shared" si="0"/>
        <v>0</v>
      </c>
      <c r="AW43" s="1138">
        <f t="shared" si="0"/>
        <v>0</v>
      </c>
      <c r="AX43" s="1139"/>
      <c r="AY43" s="1138"/>
      <c r="AZ43" s="1139">
        <f t="shared" si="1"/>
        <v>0</v>
      </c>
      <c r="BA43" s="1140">
        <f t="shared" si="1"/>
        <v>0</v>
      </c>
    </row>
    <row r="44" spans="1:53" x14ac:dyDescent="0.3">
      <c r="A44" s="1205" t="s">
        <v>309</v>
      </c>
      <c r="B44" s="1141"/>
      <c r="C44" s="1142"/>
      <c r="D44" s="1139"/>
      <c r="E44" s="1138"/>
      <c r="F44" s="1139"/>
      <c r="G44" s="1138"/>
      <c r="H44" s="1139"/>
      <c r="I44" s="1138"/>
      <c r="J44" s="1139"/>
      <c r="K44" s="1138"/>
      <c r="L44" s="1139"/>
      <c r="M44" s="1140"/>
      <c r="N44" s="1137">
        <v>2141</v>
      </c>
      <c r="O44" s="1140">
        <v>1524</v>
      </c>
      <c r="P44" s="1137"/>
      <c r="Q44" s="1140"/>
      <c r="R44" s="1137">
        <v>239.72</v>
      </c>
      <c r="S44" s="1140"/>
      <c r="T44" s="1137"/>
      <c r="U44" s="1140"/>
      <c r="V44" s="1137"/>
      <c r="W44" s="1140"/>
      <c r="X44" s="1137">
        <v>3010</v>
      </c>
      <c r="Y44" s="1138">
        <v>59</v>
      </c>
      <c r="Z44" s="1139"/>
      <c r="AA44" s="1138"/>
      <c r="AB44" s="1139"/>
      <c r="AC44" s="1140"/>
      <c r="AD44" s="1137">
        <v>5230.34</v>
      </c>
      <c r="AE44" s="1138"/>
      <c r="AF44" s="1139"/>
      <c r="AG44" s="1138"/>
      <c r="AH44" s="1139"/>
      <c r="AI44" s="1140"/>
      <c r="AJ44" s="1137"/>
      <c r="AK44" s="1138"/>
      <c r="AL44" s="1139"/>
      <c r="AM44" s="1138"/>
      <c r="AN44" s="1139"/>
      <c r="AO44" s="1138"/>
      <c r="AP44" s="1139"/>
      <c r="AQ44" s="1138"/>
      <c r="AR44" s="1139"/>
      <c r="AS44" s="1138"/>
      <c r="AT44" s="1139"/>
      <c r="AU44" s="1138"/>
      <c r="AV44" s="1139">
        <f t="shared" si="0"/>
        <v>10621.06</v>
      </c>
      <c r="AW44" s="1138">
        <f t="shared" si="0"/>
        <v>1583</v>
      </c>
      <c r="AX44" s="1139"/>
      <c r="AY44" s="1138"/>
      <c r="AZ44" s="1139">
        <f t="shared" si="1"/>
        <v>10621.06</v>
      </c>
      <c r="BA44" s="1140">
        <f t="shared" si="1"/>
        <v>1583</v>
      </c>
    </row>
    <row r="45" spans="1:53" x14ac:dyDescent="0.3">
      <c r="A45" s="399" t="s">
        <v>407</v>
      </c>
      <c r="B45" s="1141">
        <v>10491.93</v>
      </c>
      <c r="C45" s="1142">
        <v>21777</v>
      </c>
      <c r="D45" s="1139">
        <v>2465.48</v>
      </c>
      <c r="E45" s="1138">
        <v>1997</v>
      </c>
      <c r="F45" s="1139">
        <v>2861.91</v>
      </c>
      <c r="G45" s="1138">
        <v>1524</v>
      </c>
      <c r="H45" s="1139">
        <v>9526.86</v>
      </c>
      <c r="I45" s="1138">
        <v>13003</v>
      </c>
      <c r="J45" s="1139">
        <v>4389.8900000000003</v>
      </c>
      <c r="K45" s="1138">
        <v>4433</v>
      </c>
      <c r="L45" s="1139">
        <v>16646.310000000001</v>
      </c>
      <c r="M45" s="1140">
        <v>11361</v>
      </c>
      <c r="N45" s="1137">
        <v>2562</v>
      </c>
      <c r="O45" s="1140">
        <v>3263</v>
      </c>
      <c r="P45" s="1137">
        <v>3127.72</v>
      </c>
      <c r="Q45" s="1140">
        <v>5391</v>
      </c>
      <c r="R45" s="1137">
        <v>8769</v>
      </c>
      <c r="S45" s="1140">
        <v>6684</v>
      </c>
      <c r="T45" s="1137">
        <v>3990.47</v>
      </c>
      <c r="U45" s="1140">
        <v>4163</v>
      </c>
      <c r="V45" s="1137">
        <v>24073.03</v>
      </c>
      <c r="W45" s="1140">
        <v>50533</v>
      </c>
      <c r="X45" s="1137">
        <v>106339.35</v>
      </c>
      <c r="Y45" s="1138">
        <v>48705</v>
      </c>
      <c r="Z45" s="1139">
        <v>8758.92</v>
      </c>
      <c r="AA45" s="1138">
        <v>10195</v>
      </c>
      <c r="AB45" s="1139">
        <v>7934.59</v>
      </c>
      <c r="AC45" s="1140">
        <v>35019</v>
      </c>
      <c r="AD45" s="1137">
        <v>7304</v>
      </c>
      <c r="AE45" s="1138">
        <v>7506</v>
      </c>
      <c r="AF45" s="1139">
        <v>38427.660000000003</v>
      </c>
      <c r="AG45" s="1138">
        <v>29888</v>
      </c>
      <c r="AH45" s="1139">
        <v>9532.7900000000009</v>
      </c>
      <c r="AI45" s="1140">
        <v>6940</v>
      </c>
      <c r="AJ45" s="1137">
        <v>14625.76</v>
      </c>
      <c r="AK45" s="1138">
        <v>9429</v>
      </c>
      <c r="AL45" s="1139"/>
      <c r="AM45" s="1138"/>
      <c r="AN45" s="1139">
        <v>233281.47</v>
      </c>
      <c r="AO45" s="1138">
        <v>445541</v>
      </c>
      <c r="AP45" s="1139">
        <v>13831.82</v>
      </c>
      <c r="AQ45" s="1138">
        <v>7806</v>
      </c>
      <c r="AR45" s="1139">
        <v>7790.17</v>
      </c>
      <c r="AS45" s="1138">
        <v>10343</v>
      </c>
      <c r="AT45" s="1139">
        <v>15217.12</v>
      </c>
      <c r="AU45" s="1138">
        <v>15730</v>
      </c>
      <c r="AV45" s="1139">
        <f t="shared" si="0"/>
        <v>551948.25</v>
      </c>
      <c r="AW45" s="1138">
        <f t="shared" si="0"/>
        <v>751231</v>
      </c>
      <c r="AX45" s="1139">
        <v>1674828.15</v>
      </c>
      <c r="AY45" s="1138">
        <v>1687885</v>
      </c>
      <c r="AZ45" s="1139">
        <f t="shared" si="1"/>
        <v>2226776.4</v>
      </c>
      <c r="BA45" s="1140">
        <f t="shared" si="1"/>
        <v>2439116</v>
      </c>
    </row>
    <row r="46" spans="1:53" x14ac:dyDescent="0.3">
      <c r="A46" s="399" t="s">
        <v>303</v>
      </c>
      <c r="B46" s="1141">
        <v>158063.09</v>
      </c>
      <c r="C46" s="1142">
        <v>142993</v>
      </c>
      <c r="D46" s="1139">
        <v>16621.830000000002</v>
      </c>
      <c r="E46" s="1138">
        <v>13382</v>
      </c>
      <c r="F46" s="1139">
        <v>49528.24</v>
      </c>
      <c r="G46" s="1138">
        <v>38087</v>
      </c>
      <c r="H46" s="1139">
        <v>192963.05</v>
      </c>
      <c r="I46" s="1138">
        <v>294022</v>
      </c>
      <c r="J46" s="1139">
        <v>43953.68</v>
      </c>
      <c r="K46" s="1138">
        <v>40664</v>
      </c>
      <c r="L46" s="1139">
        <v>45058.99</v>
      </c>
      <c r="M46" s="1140">
        <v>48793</v>
      </c>
      <c r="N46" s="1137">
        <v>35014</v>
      </c>
      <c r="O46" s="1140">
        <v>36010</v>
      </c>
      <c r="P46" s="1137">
        <v>35168.67</v>
      </c>
      <c r="Q46" s="1140">
        <v>42264</v>
      </c>
      <c r="R46" s="1137">
        <v>76463.09</v>
      </c>
      <c r="S46" s="1140">
        <v>63297</v>
      </c>
      <c r="T46" s="1137">
        <v>21901.67</v>
      </c>
      <c r="U46" s="1140">
        <v>21902</v>
      </c>
      <c r="V46" s="1137">
        <v>456585.6</v>
      </c>
      <c r="W46" s="1140">
        <v>416462</v>
      </c>
      <c r="X46" s="1137">
        <v>439872.71</v>
      </c>
      <c r="Y46" s="1138">
        <v>402946</v>
      </c>
      <c r="Z46" s="1139">
        <v>50691.98</v>
      </c>
      <c r="AA46" s="1138">
        <v>48527</v>
      </c>
      <c r="AB46" s="1139">
        <v>57915.81</v>
      </c>
      <c r="AC46" s="1140">
        <v>55289</v>
      </c>
      <c r="AD46" s="1137">
        <v>105901</v>
      </c>
      <c r="AE46" s="1138">
        <v>112666</v>
      </c>
      <c r="AF46" s="1139">
        <v>253978.5</v>
      </c>
      <c r="AG46" s="1138">
        <v>256881</v>
      </c>
      <c r="AH46" s="1139">
        <v>97493.37</v>
      </c>
      <c r="AI46" s="1140">
        <v>116117</v>
      </c>
      <c r="AJ46" s="1137">
        <v>99243.09</v>
      </c>
      <c r="AK46" s="1138">
        <v>92474</v>
      </c>
      <c r="AL46" s="1139"/>
      <c r="AM46" s="1138"/>
      <c r="AN46" s="1139">
        <v>444202.33</v>
      </c>
      <c r="AO46" s="1138">
        <v>408435</v>
      </c>
      <c r="AP46" s="1139">
        <v>34624.370000000003</v>
      </c>
      <c r="AQ46" s="1138">
        <v>34760</v>
      </c>
      <c r="AR46" s="1139">
        <v>51170.22</v>
      </c>
      <c r="AS46" s="1138">
        <v>50167</v>
      </c>
      <c r="AT46" s="1139">
        <v>172207.16</v>
      </c>
      <c r="AU46" s="1138">
        <v>137944</v>
      </c>
      <c r="AV46" s="1139">
        <f t="shared" si="0"/>
        <v>2938622.45</v>
      </c>
      <c r="AW46" s="1138">
        <f t="shared" si="0"/>
        <v>2874082</v>
      </c>
      <c r="AX46" s="1139">
        <v>14475941.529999999</v>
      </c>
      <c r="AY46" s="1138">
        <v>14927036</v>
      </c>
      <c r="AZ46" s="1139">
        <f t="shared" si="1"/>
        <v>17414563.98</v>
      </c>
      <c r="BA46" s="1140">
        <f t="shared" si="1"/>
        <v>17801118</v>
      </c>
    </row>
    <row r="47" spans="1:53" s="1158" customFormat="1" ht="16.5" x14ac:dyDescent="0.35">
      <c r="A47" s="1206" t="s">
        <v>288</v>
      </c>
      <c r="B47" s="1152">
        <f>SUM(B45:B46)</f>
        <v>168555.02</v>
      </c>
      <c r="C47" s="1153">
        <f>SUM(C45:C46)</f>
        <v>164770</v>
      </c>
      <c r="D47" s="1154">
        <v>19087.310000000001</v>
      </c>
      <c r="E47" s="1155">
        <f>SUM(E45:E46)</f>
        <v>15379</v>
      </c>
      <c r="F47" s="1154">
        <v>52390.15</v>
      </c>
      <c r="G47" s="1155">
        <f>SUM(G45:G46)</f>
        <v>39611</v>
      </c>
      <c r="H47" s="1154">
        <v>202489.91</v>
      </c>
      <c r="I47" s="1155">
        <f>SUM(I45:I46)</f>
        <v>307025</v>
      </c>
      <c r="J47" s="1154">
        <v>48343.57</v>
      </c>
      <c r="K47" s="1155">
        <f t="shared" ref="K47:U47" si="4">SUM(K45:K46)</f>
        <v>45097</v>
      </c>
      <c r="L47" s="1154">
        <f t="shared" si="4"/>
        <v>61705.3</v>
      </c>
      <c r="M47" s="1156">
        <f t="shared" si="4"/>
        <v>60154</v>
      </c>
      <c r="N47" s="1157">
        <f t="shared" si="4"/>
        <v>37576</v>
      </c>
      <c r="O47" s="1156">
        <f t="shared" si="4"/>
        <v>39273</v>
      </c>
      <c r="P47" s="1157">
        <f t="shared" si="4"/>
        <v>38296.39</v>
      </c>
      <c r="Q47" s="1156">
        <v>47655</v>
      </c>
      <c r="R47" s="1157">
        <f t="shared" si="4"/>
        <v>85232.09</v>
      </c>
      <c r="S47" s="1156">
        <f t="shared" si="4"/>
        <v>69981</v>
      </c>
      <c r="T47" s="1157">
        <f t="shared" si="4"/>
        <v>25892.14</v>
      </c>
      <c r="U47" s="1156">
        <f t="shared" si="4"/>
        <v>26065</v>
      </c>
      <c r="V47" s="1157">
        <v>480658.63</v>
      </c>
      <c r="W47" s="1156">
        <f>SUM(W45:W46)</f>
        <v>466995</v>
      </c>
      <c r="X47" s="1157">
        <v>546212.06000000006</v>
      </c>
      <c r="Y47" s="1155">
        <f>SUM(Y45:Y46)</f>
        <v>451651</v>
      </c>
      <c r="Z47" s="1154">
        <v>59450.9</v>
      </c>
      <c r="AA47" s="1155">
        <f>SUM(AA45:AA46)</f>
        <v>58722</v>
      </c>
      <c r="AB47" s="1154">
        <v>65850.399999999994</v>
      </c>
      <c r="AC47" s="1156">
        <f>SUM(AC45:AC46)</f>
        <v>90308</v>
      </c>
      <c r="AD47" s="1157">
        <v>113205</v>
      </c>
      <c r="AE47" s="1155">
        <f>SUM(AE45:AE46)</f>
        <v>120172</v>
      </c>
      <c r="AF47" s="1154">
        <v>292406.15999999997</v>
      </c>
      <c r="AG47" s="1155">
        <f>SUM(AG45:AG46)</f>
        <v>286769</v>
      </c>
      <c r="AH47" s="1154">
        <v>107026.16</v>
      </c>
      <c r="AI47" s="1156">
        <f>SUM(AI45:AI46)</f>
        <v>123057</v>
      </c>
      <c r="AJ47" s="1157">
        <v>113868.85</v>
      </c>
      <c r="AK47" s="1155">
        <f>SUM(AK45:AK46)</f>
        <v>101903</v>
      </c>
      <c r="AL47" s="1154"/>
      <c r="AM47" s="1155">
        <f>SUM(AM45:AM46)</f>
        <v>0</v>
      </c>
      <c r="AN47" s="1154">
        <v>677483.8</v>
      </c>
      <c r="AO47" s="1155">
        <f>SUM(AO45:AO46)</f>
        <v>853976</v>
      </c>
      <c r="AP47" s="1154">
        <v>48456.19</v>
      </c>
      <c r="AQ47" s="1155">
        <f>SUM(AQ45:AQ46)</f>
        <v>42566</v>
      </c>
      <c r="AR47" s="1154">
        <v>58960.39</v>
      </c>
      <c r="AS47" s="1155">
        <f>SUM(AS45:AS46)</f>
        <v>60510</v>
      </c>
      <c r="AT47" s="1154">
        <v>187424.28</v>
      </c>
      <c r="AU47" s="1155">
        <f>SUM(AU45:AU46)</f>
        <v>153674</v>
      </c>
      <c r="AV47" s="1154">
        <f t="shared" si="0"/>
        <v>3490570.6999999997</v>
      </c>
      <c r="AW47" s="1155">
        <f t="shared" si="0"/>
        <v>3625313</v>
      </c>
      <c r="AX47" s="1154">
        <f>SUM(AX45:AX46)</f>
        <v>16150769.68</v>
      </c>
      <c r="AY47" s="1155">
        <f>SUM(AY45:AY46)</f>
        <v>16614921</v>
      </c>
      <c r="AZ47" s="1154">
        <f t="shared" si="1"/>
        <v>19641340.379999999</v>
      </c>
      <c r="BA47" s="1156">
        <f t="shared" si="1"/>
        <v>20240234</v>
      </c>
    </row>
    <row r="48" spans="1:53" x14ac:dyDescent="0.3">
      <c r="A48" s="399" t="s">
        <v>408</v>
      </c>
      <c r="B48" s="1141">
        <v>135852.93</v>
      </c>
      <c r="C48" s="1142">
        <v>131805</v>
      </c>
      <c r="D48" s="1139">
        <v>16143.66</v>
      </c>
      <c r="E48" s="1138">
        <v>11492</v>
      </c>
      <c r="F48" s="1139">
        <v>47933.22</v>
      </c>
      <c r="G48" s="1138">
        <v>33670</v>
      </c>
      <c r="H48" s="1139">
        <v>152199.82</v>
      </c>
      <c r="I48" s="1138">
        <v>223289</v>
      </c>
      <c r="J48" s="1139">
        <v>34111.19</v>
      </c>
      <c r="K48" s="1138">
        <v>33584</v>
      </c>
      <c r="L48" s="1139">
        <v>56006.32</v>
      </c>
      <c r="M48" s="1140">
        <v>57161</v>
      </c>
      <c r="N48" s="1137">
        <v>14339</v>
      </c>
      <c r="O48" s="1140">
        <v>14063</v>
      </c>
      <c r="P48" s="1137">
        <v>29946.799999999999</v>
      </c>
      <c r="Q48" s="1140">
        <v>30421</v>
      </c>
      <c r="R48" s="1137">
        <v>68876</v>
      </c>
      <c r="S48" s="1140">
        <v>56417</v>
      </c>
      <c r="T48" s="1137">
        <v>22050.76</v>
      </c>
      <c r="U48" s="1140">
        <v>22224</v>
      </c>
      <c r="V48" s="1137">
        <v>612360.48</v>
      </c>
      <c r="W48" s="1140">
        <v>581854</v>
      </c>
      <c r="X48" s="1137">
        <v>529456.18999999994</v>
      </c>
      <c r="Y48" s="1138">
        <v>465548</v>
      </c>
      <c r="Z48" s="1139">
        <v>16080.34</v>
      </c>
      <c r="AA48" s="1138">
        <v>18905</v>
      </c>
      <c r="AB48" s="1139">
        <v>60739.64</v>
      </c>
      <c r="AC48" s="1140">
        <v>76064</v>
      </c>
      <c r="AD48" s="1137">
        <v>159345</v>
      </c>
      <c r="AE48" s="1138">
        <v>179748</v>
      </c>
      <c r="AF48" s="1139">
        <v>308431.38</v>
      </c>
      <c r="AG48" s="1138">
        <v>336393</v>
      </c>
      <c r="AH48" s="1139">
        <v>117999.5</v>
      </c>
      <c r="AI48" s="1140">
        <v>113939</v>
      </c>
      <c r="AJ48" s="1137">
        <v>94068.26</v>
      </c>
      <c r="AK48" s="1138">
        <v>86740</v>
      </c>
      <c r="AL48" s="1139"/>
      <c r="AM48" s="1138"/>
      <c r="AN48" s="1139">
        <v>380913.79</v>
      </c>
      <c r="AO48" s="1138">
        <v>356414</v>
      </c>
      <c r="AP48" s="1139">
        <v>24823.87</v>
      </c>
      <c r="AQ48" s="1138">
        <v>27492</v>
      </c>
      <c r="AR48" s="1139">
        <v>37175.71</v>
      </c>
      <c r="AS48" s="1138">
        <v>36781</v>
      </c>
      <c r="AT48" s="1139">
        <v>176209.74</v>
      </c>
      <c r="AU48" s="1138">
        <v>233325</v>
      </c>
      <c r="AV48" s="1139">
        <f t="shared" si="0"/>
        <v>3095063.5999999996</v>
      </c>
      <c r="AW48" s="1138">
        <f t="shared" si="0"/>
        <v>3127329</v>
      </c>
      <c r="AX48" s="1139">
        <v>5577546.8099999996</v>
      </c>
      <c r="AY48" s="1138">
        <v>5628715</v>
      </c>
      <c r="AZ48" s="1139">
        <f t="shared" si="1"/>
        <v>8672610.4100000001</v>
      </c>
      <c r="BA48" s="1140">
        <f t="shared" si="1"/>
        <v>8756044</v>
      </c>
    </row>
    <row r="49" spans="1:53" x14ac:dyDescent="0.3">
      <c r="A49" s="399" t="s">
        <v>409</v>
      </c>
      <c r="B49" s="1141">
        <v>12685.68</v>
      </c>
      <c r="C49" s="1142">
        <v>13441</v>
      </c>
      <c r="D49" s="1139">
        <v>188.89</v>
      </c>
      <c r="E49" s="1138">
        <v>197</v>
      </c>
      <c r="F49" s="1139">
        <v>1320.04</v>
      </c>
      <c r="G49" s="1138">
        <v>903</v>
      </c>
      <c r="H49" s="1139">
        <v>21770.53</v>
      </c>
      <c r="I49" s="1138">
        <v>29464</v>
      </c>
      <c r="J49" s="1139">
        <v>4537.6400000000003</v>
      </c>
      <c r="K49" s="1138">
        <v>4657</v>
      </c>
      <c r="L49" s="1139">
        <v>1800.11</v>
      </c>
      <c r="M49" s="1140">
        <v>1710</v>
      </c>
      <c r="N49" s="1137">
        <v>20132</v>
      </c>
      <c r="O49" s="1140">
        <v>13727</v>
      </c>
      <c r="P49" s="1137">
        <v>400.37</v>
      </c>
      <c r="Q49" s="1140">
        <v>546</v>
      </c>
      <c r="R49" s="1137">
        <v>4375.59</v>
      </c>
      <c r="S49" s="1140">
        <v>2998</v>
      </c>
      <c r="T49" s="1137">
        <v>1025.1300000000001</v>
      </c>
      <c r="U49" s="1140">
        <v>1025</v>
      </c>
      <c r="V49" s="1137">
        <v>6153.17</v>
      </c>
      <c r="W49" s="1140">
        <v>7933</v>
      </c>
      <c r="X49" s="1137">
        <v>3538.73</v>
      </c>
      <c r="Y49" s="1138">
        <v>3822</v>
      </c>
      <c r="Z49" s="1139">
        <v>720.62</v>
      </c>
      <c r="AA49" s="1138">
        <v>733</v>
      </c>
      <c r="AB49" s="1139">
        <v>161.16</v>
      </c>
      <c r="AC49" s="1140">
        <v>509</v>
      </c>
      <c r="AD49" s="1137">
        <v>35251.370000000003</v>
      </c>
      <c r="AE49" s="1138">
        <v>45397</v>
      </c>
      <c r="AF49" s="1139">
        <v>4803.8999999999996</v>
      </c>
      <c r="AG49" s="1138">
        <v>4579</v>
      </c>
      <c r="AH49" s="1139">
        <v>8530.36</v>
      </c>
      <c r="AI49" s="1140">
        <v>9618</v>
      </c>
      <c r="AJ49" s="1137">
        <v>6507.29</v>
      </c>
      <c r="AK49" s="1138">
        <v>4762</v>
      </c>
      <c r="AL49" s="1139"/>
      <c r="AM49" s="1138"/>
      <c r="AN49" s="1139">
        <v>40271.58</v>
      </c>
      <c r="AO49" s="1138">
        <v>40109</v>
      </c>
      <c r="AP49" s="1139">
        <v>10903.91</v>
      </c>
      <c r="AQ49" s="1138">
        <v>4431</v>
      </c>
      <c r="AR49" s="1139">
        <v>521.54</v>
      </c>
      <c r="AS49" s="1138">
        <v>766</v>
      </c>
      <c r="AT49" s="1139">
        <v>6926.8</v>
      </c>
      <c r="AU49" s="1138">
        <v>7678</v>
      </c>
      <c r="AV49" s="1139">
        <f t="shared" si="0"/>
        <v>192526.40999999997</v>
      </c>
      <c r="AW49" s="1138">
        <f t="shared" si="0"/>
        <v>199005</v>
      </c>
      <c r="AX49" s="1139">
        <v>1494305.6</v>
      </c>
      <c r="AY49" s="1138">
        <v>1494305</v>
      </c>
      <c r="AZ49" s="1139">
        <f t="shared" si="1"/>
        <v>1686832.01</v>
      </c>
      <c r="BA49" s="1140">
        <f t="shared" si="1"/>
        <v>1693310</v>
      </c>
    </row>
    <row r="50" spans="1:53" s="1158" customFormat="1" ht="16.5" x14ac:dyDescent="0.35">
      <c r="A50" s="1206" t="s">
        <v>289</v>
      </c>
      <c r="B50" s="1152">
        <f>SUM(B48:B49)</f>
        <v>148538.60999999999</v>
      </c>
      <c r="C50" s="1153">
        <f>SUM(C48:C49)</f>
        <v>145246</v>
      </c>
      <c r="D50" s="1154">
        <v>16332.55</v>
      </c>
      <c r="E50" s="1155">
        <f t="shared" ref="E50:Z50" si="5">SUM(E48:E49)</f>
        <v>11689</v>
      </c>
      <c r="F50" s="1154">
        <f t="shared" si="5"/>
        <v>49253.26</v>
      </c>
      <c r="G50" s="1155">
        <f t="shared" si="5"/>
        <v>34573</v>
      </c>
      <c r="H50" s="1154">
        <f t="shared" si="5"/>
        <v>173970.35</v>
      </c>
      <c r="I50" s="1155">
        <f t="shared" si="5"/>
        <v>252753</v>
      </c>
      <c r="J50" s="1154">
        <f t="shared" si="5"/>
        <v>38648.83</v>
      </c>
      <c r="K50" s="1155">
        <f t="shared" si="5"/>
        <v>38241</v>
      </c>
      <c r="L50" s="1154">
        <f t="shared" si="5"/>
        <v>57806.43</v>
      </c>
      <c r="M50" s="1156">
        <f t="shared" si="5"/>
        <v>58871</v>
      </c>
      <c r="N50" s="1157">
        <f t="shared" si="5"/>
        <v>34471</v>
      </c>
      <c r="O50" s="1156">
        <f t="shared" si="5"/>
        <v>27790</v>
      </c>
      <c r="P50" s="1157">
        <f t="shared" si="5"/>
        <v>30347.17</v>
      </c>
      <c r="Q50" s="1156">
        <f t="shared" si="5"/>
        <v>30967</v>
      </c>
      <c r="R50" s="1157">
        <f t="shared" si="5"/>
        <v>73251.59</v>
      </c>
      <c r="S50" s="1156">
        <f t="shared" si="5"/>
        <v>59415</v>
      </c>
      <c r="T50" s="1157">
        <f t="shared" si="5"/>
        <v>23075.89</v>
      </c>
      <c r="U50" s="1156">
        <f t="shared" si="5"/>
        <v>23249</v>
      </c>
      <c r="V50" s="1157">
        <f t="shared" si="5"/>
        <v>618513.65</v>
      </c>
      <c r="W50" s="1156">
        <f t="shared" si="5"/>
        <v>589787</v>
      </c>
      <c r="X50" s="1157">
        <f t="shared" si="5"/>
        <v>532994.91999999993</v>
      </c>
      <c r="Y50" s="1155">
        <f t="shared" si="5"/>
        <v>469370</v>
      </c>
      <c r="Z50" s="1154">
        <f t="shared" si="5"/>
        <v>16800.96</v>
      </c>
      <c r="AA50" s="1155">
        <f>SUM(AA48:AA49)</f>
        <v>19638</v>
      </c>
      <c r="AB50" s="1154">
        <f>SUM(AB48:AB49)</f>
        <v>60900.800000000003</v>
      </c>
      <c r="AC50" s="1156">
        <f>SUM(AC48:AC49)</f>
        <v>76573</v>
      </c>
      <c r="AD50" s="1157">
        <v>196570.78</v>
      </c>
      <c r="AE50" s="1155">
        <f>SUM(AE48:AE49)</f>
        <v>225145</v>
      </c>
      <c r="AF50" s="1154">
        <v>313235.28000000003</v>
      </c>
      <c r="AG50" s="1155">
        <f>SUM(AG48:AG49)</f>
        <v>340972</v>
      </c>
      <c r="AH50" s="1154">
        <v>126529.86</v>
      </c>
      <c r="AI50" s="1156">
        <f>SUM(AI48:AI49)</f>
        <v>123557</v>
      </c>
      <c r="AJ50" s="1157">
        <v>100575.55</v>
      </c>
      <c r="AK50" s="1155">
        <f>SUM(AK48:AK49)</f>
        <v>91502</v>
      </c>
      <c r="AL50" s="1154">
        <f>SUM(AL48:AL49)</f>
        <v>0</v>
      </c>
      <c r="AM50" s="1155">
        <f>SUM(AM48:AM49)</f>
        <v>0</v>
      </c>
      <c r="AN50" s="1154">
        <v>421185.37</v>
      </c>
      <c r="AO50" s="1155">
        <f>SUM(AO48:AO49)</f>
        <v>396523</v>
      </c>
      <c r="AP50" s="1154">
        <v>35727.78</v>
      </c>
      <c r="AQ50" s="1155">
        <f>SUM(AQ48:AQ49)</f>
        <v>31923</v>
      </c>
      <c r="AR50" s="1154">
        <v>39697.25</v>
      </c>
      <c r="AS50" s="1155">
        <f>SUM(AS48:AS49)</f>
        <v>37547</v>
      </c>
      <c r="AT50" s="1154">
        <f>SUM(AT48:AT49)</f>
        <v>183136.53999999998</v>
      </c>
      <c r="AU50" s="1155">
        <f>SUM(AU48:AU49)</f>
        <v>241003</v>
      </c>
      <c r="AV50" s="1154">
        <f t="shared" si="0"/>
        <v>3291564.42</v>
      </c>
      <c r="AW50" s="1155">
        <f t="shared" si="0"/>
        <v>3326334</v>
      </c>
      <c r="AX50" s="1154">
        <f>SUM(AX48:AX49)</f>
        <v>7071852.4100000001</v>
      </c>
      <c r="AY50" s="1155">
        <f>SUM(AY48:AY49)</f>
        <v>7123020</v>
      </c>
      <c r="AZ50" s="1154">
        <f t="shared" si="1"/>
        <v>10363416.83</v>
      </c>
      <c r="BA50" s="1156">
        <f t="shared" si="1"/>
        <v>10449354</v>
      </c>
    </row>
    <row r="51" spans="1:53" s="1158" customFormat="1" ht="16.5" x14ac:dyDescent="0.35">
      <c r="A51" s="1206" t="s">
        <v>290</v>
      </c>
      <c r="B51" s="1152">
        <f t="shared" ref="B51:Z51" si="6">B47-B50</f>
        <v>20016.410000000003</v>
      </c>
      <c r="C51" s="1153">
        <f t="shared" si="6"/>
        <v>19524</v>
      </c>
      <c r="D51" s="1154">
        <f t="shared" si="6"/>
        <v>2754.760000000002</v>
      </c>
      <c r="E51" s="1155">
        <f t="shared" si="6"/>
        <v>3690</v>
      </c>
      <c r="F51" s="1154">
        <f t="shared" si="6"/>
        <v>3136.8899999999994</v>
      </c>
      <c r="G51" s="1155">
        <f t="shared" si="6"/>
        <v>5038</v>
      </c>
      <c r="H51" s="1154">
        <f t="shared" si="6"/>
        <v>28519.559999999998</v>
      </c>
      <c r="I51" s="1155">
        <f t="shared" si="6"/>
        <v>54272</v>
      </c>
      <c r="J51" s="1154">
        <f t="shared" si="6"/>
        <v>9694.739999999998</v>
      </c>
      <c r="K51" s="1155">
        <f t="shared" si="6"/>
        <v>6856</v>
      </c>
      <c r="L51" s="1154">
        <f t="shared" si="6"/>
        <v>3898.8700000000026</v>
      </c>
      <c r="M51" s="1156">
        <f t="shared" si="6"/>
        <v>1283</v>
      </c>
      <c r="N51" s="1157">
        <f t="shared" si="6"/>
        <v>3105</v>
      </c>
      <c r="O51" s="1156">
        <f t="shared" si="6"/>
        <v>11483</v>
      </c>
      <c r="P51" s="1157">
        <f t="shared" si="6"/>
        <v>7949.2200000000012</v>
      </c>
      <c r="Q51" s="1156">
        <f t="shared" si="6"/>
        <v>16688</v>
      </c>
      <c r="R51" s="1157">
        <f t="shared" si="6"/>
        <v>11980.5</v>
      </c>
      <c r="S51" s="1156">
        <f t="shared" si="6"/>
        <v>10566</v>
      </c>
      <c r="T51" s="1157">
        <f t="shared" si="6"/>
        <v>2816.25</v>
      </c>
      <c r="U51" s="1156">
        <f t="shared" si="6"/>
        <v>2816</v>
      </c>
      <c r="V51" s="1157">
        <f t="shared" si="6"/>
        <v>-137855.02000000002</v>
      </c>
      <c r="W51" s="1156">
        <f t="shared" si="6"/>
        <v>-122792</v>
      </c>
      <c r="X51" s="1157">
        <f t="shared" si="6"/>
        <v>13217.14000000013</v>
      </c>
      <c r="Y51" s="1155">
        <f t="shared" si="6"/>
        <v>-17719</v>
      </c>
      <c r="Z51" s="1154">
        <f t="shared" si="6"/>
        <v>42649.94</v>
      </c>
      <c r="AA51" s="1155">
        <f>AA47-AA50</f>
        <v>39084</v>
      </c>
      <c r="AB51" s="1154">
        <f>AB47-AB50</f>
        <v>4949.5999999999913</v>
      </c>
      <c r="AC51" s="1156">
        <f>AC47-AC50</f>
        <v>13735</v>
      </c>
      <c r="AD51" s="1157">
        <f>AD47-AD50</f>
        <v>-83365.78</v>
      </c>
      <c r="AE51" s="1155">
        <f>AE47-AE50</f>
        <v>-104973</v>
      </c>
      <c r="AF51" s="1154">
        <v>-20829.12</v>
      </c>
      <c r="AG51" s="1155">
        <f>AG47-AG50</f>
        <v>-54203</v>
      </c>
      <c r="AH51" s="1154">
        <v>-19503.7</v>
      </c>
      <c r="AI51" s="1156">
        <f>AI47-AI50</f>
        <v>-500</v>
      </c>
      <c r="AJ51" s="1157">
        <v>13293.3</v>
      </c>
      <c r="AK51" s="1155">
        <f>AK47-AK50</f>
        <v>10401</v>
      </c>
      <c r="AL51" s="1154">
        <f>AL47-AL50</f>
        <v>0</v>
      </c>
      <c r="AM51" s="1155">
        <f>AM47-AM50</f>
        <v>0</v>
      </c>
      <c r="AN51" s="1154">
        <v>256298.43</v>
      </c>
      <c r="AO51" s="1155">
        <f>AO47-AO50</f>
        <v>457453</v>
      </c>
      <c r="AP51" s="1154">
        <v>12728.41</v>
      </c>
      <c r="AQ51" s="1155">
        <f>AQ47-AQ50</f>
        <v>10643</v>
      </c>
      <c r="AR51" s="1154">
        <v>19263.14</v>
      </c>
      <c r="AS51" s="1155">
        <f>AS47-AS50</f>
        <v>22963</v>
      </c>
      <c r="AT51" s="1154">
        <f>AT47-AT50</f>
        <v>4287.7400000000198</v>
      </c>
      <c r="AU51" s="1155">
        <f>AU47-AU50</f>
        <v>-87329</v>
      </c>
      <c r="AV51" s="1154">
        <f t="shared" si="0"/>
        <v>199006.28000000012</v>
      </c>
      <c r="AW51" s="1155">
        <f t="shared" si="0"/>
        <v>298979</v>
      </c>
      <c r="AX51" s="1154">
        <f>AX47-AX50</f>
        <v>9078917.2699999996</v>
      </c>
      <c r="AY51" s="1155">
        <f>AY47-AY50</f>
        <v>9491901</v>
      </c>
      <c r="AZ51" s="1154">
        <f t="shared" si="1"/>
        <v>9277923.5499999989</v>
      </c>
      <c r="BA51" s="1156">
        <f t="shared" si="1"/>
        <v>9790880</v>
      </c>
    </row>
    <row r="52" spans="1:53" x14ac:dyDescent="0.3">
      <c r="A52" s="399" t="s">
        <v>291</v>
      </c>
      <c r="B52" s="1141"/>
      <c r="C52" s="1142"/>
      <c r="D52" s="1139"/>
      <c r="E52" s="1138"/>
      <c r="F52" s="1139"/>
      <c r="G52" s="1138"/>
      <c r="H52" s="1139"/>
      <c r="I52" s="1138"/>
      <c r="J52" s="1139"/>
      <c r="K52" s="1138"/>
      <c r="L52" s="1139"/>
      <c r="M52" s="1140"/>
      <c r="N52" s="1137"/>
      <c r="O52" s="1140"/>
      <c r="P52" s="1137"/>
      <c r="Q52" s="1140"/>
      <c r="R52" s="1137"/>
      <c r="S52" s="1140"/>
      <c r="T52" s="1137"/>
      <c r="U52" s="1140"/>
      <c r="V52" s="1137"/>
      <c r="W52" s="1140"/>
      <c r="X52" s="1137"/>
      <c r="Y52" s="1138"/>
      <c r="Z52" s="1139"/>
      <c r="AA52" s="1138"/>
      <c r="AB52" s="1139"/>
      <c r="AC52" s="1140"/>
      <c r="AD52" s="1137"/>
      <c r="AE52" s="1138"/>
      <c r="AF52" s="1139"/>
      <c r="AG52" s="1138"/>
      <c r="AH52" s="1139"/>
      <c r="AI52" s="1140"/>
      <c r="AJ52" s="1137"/>
      <c r="AK52" s="1138"/>
      <c r="AL52" s="1139"/>
      <c r="AM52" s="1138"/>
      <c r="AN52" s="1139"/>
      <c r="AO52" s="1138"/>
      <c r="AP52" s="1139"/>
      <c r="AQ52" s="1138"/>
      <c r="AR52" s="1139"/>
      <c r="AS52" s="1138"/>
      <c r="AT52" s="1139"/>
      <c r="AU52" s="1138"/>
      <c r="AV52" s="1139">
        <f t="shared" si="0"/>
        <v>0</v>
      </c>
      <c r="AW52" s="1138">
        <f t="shared" si="0"/>
        <v>0</v>
      </c>
      <c r="AX52" s="1139"/>
      <c r="AY52" s="1138"/>
      <c r="AZ52" s="1139">
        <f t="shared" si="1"/>
        <v>0</v>
      </c>
      <c r="BA52" s="1140">
        <f t="shared" si="1"/>
        <v>0</v>
      </c>
    </row>
    <row r="53" spans="1:53" x14ac:dyDescent="0.3">
      <c r="A53" s="399" t="s">
        <v>292</v>
      </c>
      <c r="B53" s="1141"/>
      <c r="C53" s="1142"/>
      <c r="D53" s="1139"/>
      <c r="E53" s="1138"/>
      <c r="F53" s="1139"/>
      <c r="G53" s="1138"/>
      <c r="H53" s="1139"/>
      <c r="I53" s="1138"/>
      <c r="J53" s="1139"/>
      <c r="K53" s="1138"/>
      <c r="L53" s="1139"/>
      <c r="M53" s="1140"/>
      <c r="N53" s="1137"/>
      <c r="O53" s="1140"/>
      <c r="P53" s="1137"/>
      <c r="Q53" s="1140"/>
      <c r="R53" s="1137"/>
      <c r="S53" s="1140"/>
      <c r="T53" s="1137"/>
      <c r="U53" s="1140"/>
      <c r="V53" s="1137"/>
      <c r="W53" s="1140"/>
      <c r="X53" s="1137"/>
      <c r="Y53" s="1138"/>
      <c r="Z53" s="1139"/>
      <c r="AA53" s="1138"/>
      <c r="AB53" s="1139"/>
      <c r="AC53" s="1140"/>
      <c r="AD53" s="1137"/>
      <c r="AE53" s="1138"/>
      <c r="AF53" s="1139"/>
      <c r="AG53" s="1138"/>
      <c r="AH53" s="1139"/>
      <c r="AI53" s="1140"/>
      <c r="AJ53" s="1137"/>
      <c r="AK53" s="1138"/>
      <c r="AL53" s="1139"/>
      <c r="AM53" s="1138"/>
      <c r="AN53" s="1139"/>
      <c r="AO53" s="1138"/>
      <c r="AP53" s="1139"/>
      <c r="AQ53" s="1138"/>
      <c r="AR53" s="1139"/>
      <c r="AS53" s="1138"/>
      <c r="AT53" s="1139"/>
      <c r="AU53" s="1138"/>
      <c r="AV53" s="1139">
        <f t="shared" si="0"/>
        <v>0</v>
      </c>
      <c r="AW53" s="1138">
        <f t="shared" si="0"/>
        <v>0</v>
      </c>
      <c r="AX53" s="1139"/>
      <c r="AY53" s="1138"/>
      <c r="AZ53" s="1139">
        <f t="shared" si="1"/>
        <v>0</v>
      </c>
      <c r="BA53" s="1140">
        <f t="shared" si="1"/>
        <v>0</v>
      </c>
    </row>
    <row r="54" spans="1:53" x14ac:dyDescent="0.3">
      <c r="A54" s="399" t="s">
        <v>293</v>
      </c>
      <c r="B54" s="1141"/>
      <c r="C54" s="1142"/>
      <c r="D54" s="1139">
        <v>73016.13</v>
      </c>
      <c r="E54" s="1138">
        <v>82110</v>
      </c>
      <c r="F54" s="1139">
        <v>139304.54999999999</v>
      </c>
      <c r="G54" s="1138">
        <v>148039</v>
      </c>
      <c r="H54" s="1139"/>
      <c r="I54" s="1138"/>
      <c r="J54" s="1139">
        <v>294569.87</v>
      </c>
      <c r="K54" s="1138">
        <v>331515</v>
      </c>
      <c r="L54" s="1139"/>
      <c r="M54" s="1140"/>
      <c r="N54" s="1137">
        <v>21518</v>
      </c>
      <c r="O54" s="1140">
        <v>18592</v>
      </c>
      <c r="P54" s="1137">
        <v>167973.74</v>
      </c>
      <c r="Q54" s="1140">
        <v>191028</v>
      </c>
      <c r="R54" s="1137">
        <v>72736</v>
      </c>
      <c r="S54" s="1140">
        <v>66924</v>
      </c>
      <c r="T54" s="1137">
        <v>200468.19</v>
      </c>
      <c r="U54" s="1140">
        <v>221463</v>
      </c>
      <c r="V54" s="1137"/>
      <c r="W54" s="1140"/>
      <c r="X54" s="1137"/>
      <c r="Y54" s="1138"/>
      <c r="Z54" s="1139"/>
      <c r="AA54" s="1138"/>
      <c r="AB54" s="1139">
        <v>31343.82</v>
      </c>
      <c r="AC54" s="1140">
        <v>49253</v>
      </c>
      <c r="AD54" s="1137"/>
      <c r="AE54" s="1138"/>
      <c r="AF54" s="1139"/>
      <c r="AG54" s="1138"/>
      <c r="AH54" s="1139">
        <v>74598.25</v>
      </c>
      <c r="AI54" s="1140">
        <v>65218</v>
      </c>
      <c r="AJ54" s="1137">
        <v>19695.849999999999</v>
      </c>
      <c r="AK54" s="1138">
        <v>5710</v>
      </c>
      <c r="AL54" s="1139"/>
      <c r="AM54" s="1138"/>
      <c r="AN54" s="1139"/>
      <c r="AO54" s="1138"/>
      <c r="AP54" s="1139"/>
      <c r="AQ54" s="1138"/>
      <c r="AR54" s="1139"/>
      <c r="AS54" s="1138"/>
      <c r="AT54" s="1139"/>
      <c r="AU54" s="1138"/>
      <c r="AV54" s="1139">
        <f t="shared" si="0"/>
        <v>1095224.3999999999</v>
      </c>
      <c r="AW54" s="1138">
        <f t="shared" si="0"/>
        <v>1179852</v>
      </c>
      <c r="AX54" s="1139"/>
      <c r="AY54" s="1138"/>
      <c r="AZ54" s="1139">
        <f t="shared" si="1"/>
        <v>1095224.3999999999</v>
      </c>
      <c r="BA54" s="1140">
        <f t="shared" si="1"/>
        <v>1179852</v>
      </c>
    </row>
    <row r="55" spans="1:53" x14ac:dyDescent="0.3">
      <c r="A55" s="399" t="s">
        <v>294</v>
      </c>
      <c r="B55" s="1141"/>
      <c r="C55" s="1142"/>
      <c r="D55" s="1139">
        <v>147497.35</v>
      </c>
      <c r="E55" s="1138">
        <v>171951</v>
      </c>
      <c r="F55" s="1139"/>
      <c r="G55" s="1138"/>
      <c r="H55" s="1139"/>
      <c r="I55" s="1138"/>
      <c r="J55" s="1139"/>
      <c r="K55" s="1138"/>
      <c r="L55" s="1139"/>
      <c r="M55" s="1140"/>
      <c r="N55" s="1137"/>
      <c r="O55" s="1140"/>
      <c r="P55" s="1137"/>
      <c r="Q55" s="1140"/>
      <c r="R55" s="1137"/>
      <c r="S55" s="1140"/>
      <c r="T55" s="1137"/>
      <c r="U55" s="1140"/>
      <c r="V55" s="1137"/>
      <c r="W55" s="1140"/>
      <c r="X55" s="1137"/>
      <c r="Y55" s="1138"/>
      <c r="Z55" s="1139">
        <v>1504</v>
      </c>
      <c r="AA55" s="1138">
        <v>376</v>
      </c>
      <c r="AB55" s="1139">
        <v>20596.5</v>
      </c>
      <c r="AC55" s="1140">
        <v>1312</v>
      </c>
      <c r="AD55" s="1137"/>
      <c r="AE55" s="1138"/>
      <c r="AF55" s="1139"/>
      <c r="AG55" s="1138"/>
      <c r="AH55" s="1139"/>
      <c r="AI55" s="1140"/>
      <c r="AJ55" s="1137"/>
      <c r="AK55" s="1138"/>
      <c r="AL55" s="1139"/>
      <c r="AM55" s="1138"/>
      <c r="AN55" s="1139"/>
      <c r="AO55" s="1138"/>
      <c r="AP55" s="1139"/>
      <c r="AQ55" s="1138"/>
      <c r="AR55" s="1139"/>
      <c r="AS55" s="1138"/>
      <c r="AT55" s="1139"/>
      <c r="AU55" s="1138"/>
      <c r="AV55" s="1139">
        <f t="shared" si="0"/>
        <v>169597.85</v>
      </c>
      <c r="AW55" s="1138">
        <f t="shared" si="0"/>
        <v>173639</v>
      </c>
      <c r="AX55" s="1139"/>
      <c r="AY55" s="1138"/>
      <c r="AZ55" s="1139">
        <f t="shared" si="1"/>
        <v>169597.85</v>
      </c>
      <c r="BA55" s="1140">
        <f t="shared" si="1"/>
        <v>173639</v>
      </c>
    </row>
    <row r="56" spans="1:53" s="1130" customFormat="1" ht="16.5" x14ac:dyDescent="0.35">
      <c r="A56" s="1205" t="s">
        <v>284</v>
      </c>
      <c r="B56" s="1144">
        <v>5489468.9000000004</v>
      </c>
      <c r="C56" s="1145">
        <v>6129112</v>
      </c>
      <c r="D56" s="1148">
        <v>566043</v>
      </c>
      <c r="E56" s="1151">
        <v>638250</v>
      </c>
      <c r="F56" s="1148">
        <v>1248849.19</v>
      </c>
      <c r="G56" s="1151">
        <v>1300927</v>
      </c>
      <c r="H56" s="1148">
        <v>7806500.6600000001</v>
      </c>
      <c r="I56" s="1151">
        <v>8427013</v>
      </c>
      <c r="J56" s="1148">
        <v>1279490.68</v>
      </c>
      <c r="K56" s="1151">
        <v>1490858</v>
      </c>
      <c r="L56" s="1148">
        <v>2318388.92</v>
      </c>
      <c r="M56" s="1149">
        <v>2606328</v>
      </c>
      <c r="N56" s="1150">
        <v>612794</v>
      </c>
      <c r="O56" s="1149">
        <v>677106</v>
      </c>
      <c r="P56" s="1150">
        <v>629199.76</v>
      </c>
      <c r="Q56" s="1149">
        <v>761615</v>
      </c>
      <c r="R56" s="1150">
        <v>1965963.62</v>
      </c>
      <c r="S56" s="1149">
        <v>2142692</v>
      </c>
      <c r="T56" s="1150">
        <v>747599.41</v>
      </c>
      <c r="U56" s="1149">
        <v>866314</v>
      </c>
      <c r="V56" s="1150">
        <v>18070963.399999999</v>
      </c>
      <c r="W56" s="1149">
        <v>1994476</v>
      </c>
      <c r="X56" s="1150">
        <v>2249392.7200000002</v>
      </c>
      <c r="Y56" s="1151">
        <v>22907414</v>
      </c>
      <c r="Z56" s="1148">
        <v>1262904.1000000001</v>
      </c>
      <c r="AA56" s="1151">
        <v>1397870</v>
      </c>
      <c r="AB56" s="1148">
        <v>1806368.39</v>
      </c>
      <c r="AC56" s="1149">
        <v>1912326</v>
      </c>
      <c r="AD56" s="1150">
        <v>4778474.71</v>
      </c>
      <c r="AE56" s="1151">
        <v>5440617</v>
      </c>
      <c r="AF56" s="1148">
        <v>9428963.1099999994</v>
      </c>
      <c r="AG56" s="1151">
        <v>10769308</v>
      </c>
      <c r="AH56" s="1148">
        <v>3047920.11</v>
      </c>
      <c r="AI56" s="1149">
        <v>3529356</v>
      </c>
      <c r="AJ56" s="1150">
        <v>2570167.9</v>
      </c>
      <c r="AK56" s="1151">
        <v>2800805</v>
      </c>
      <c r="AL56" s="1148"/>
      <c r="AM56" s="1151"/>
      <c r="AN56" s="1148">
        <f>AN35</f>
        <v>23281505.710000001</v>
      </c>
      <c r="AO56" s="1151">
        <f>AO35</f>
        <v>26506319</v>
      </c>
      <c r="AP56" s="1148">
        <f t="shared" ref="AP56:AU56" si="7">AP35</f>
        <v>677626.67</v>
      </c>
      <c r="AQ56" s="1151">
        <f t="shared" si="7"/>
        <v>812062</v>
      </c>
      <c r="AR56" s="1148">
        <f t="shared" si="7"/>
        <v>1265041.3600000001</v>
      </c>
      <c r="AS56" s="1151">
        <f t="shared" si="7"/>
        <v>1564264</v>
      </c>
      <c r="AT56" s="1148">
        <f>AT35</f>
        <v>4963058.04</v>
      </c>
      <c r="AU56" s="1151">
        <f t="shared" si="7"/>
        <v>5746711</v>
      </c>
      <c r="AV56" s="1148">
        <f t="shared" si="0"/>
        <v>96066684.360000014</v>
      </c>
      <c r="AW56" s="1151">
        <f t="shared" si="0"/>
        <v>110421743</v>
      </c>
      <c r="AX56" s="1148">
        <v>386179481.16000003</v>
      </c>
      <c r="AY56" s="1151">
        <v>415207556</v>
      </c>
      <c r="AZ56" s="1148">
        <f t="shared" si="1"/>
        <v>482246165.52000004</v>
      </c>
      <c r="BA56" s="1149">
        <f t="shared" si="1"/>
        <v>525629299</v>
      </c>
    </row>
    <row r="57" spans="1:53" x14ac:dyDescent="0.3">
      <c r="A57" s="1205" t="s">
        <v>295</v>
      </c>
      <c r="B57" s="1137"/>
      <c r="C57" s="1138"/>
      <c r="D57" s="1139"/>
      <c r="E57" s="1138"/>
      <c r="F57" s="1139"/>
      <c r="G57" s="1138"/>
      <c r="H57" s="1139"/>
      <c r="I57" s="1138"/>
      <c r="J57" s="1139"/>
      <c r="K57" s="1138"/>
      <c r="L57" s="1139"/>
      <c r="M57" s="1140"/>
      <c r="N57" s="1137"/>
      <c r="O57" s="1140"/>
      <c r="P57" s="1137"/>
      <c r="Q57" s="1140"/>
      <c r="R57" s="1137"/>
      <c r="S57" s="1140"/>
      <c r="T57" s="1137"/>
      <c r="U57" s="1140"/>
      <c r="V57" s="1137"/>
      <c r="W57" s="1140"/>
      <c r="X57" s="1137"/>
      <c r="Y57" s="1138"/>
      <c r="Z57" s="1139"/>
      <c r="AA57" s="1138"/>
      <c r="AB57" s="1139"/>
      <c r="AC57" s="1140"/>
      <c r="AD57" s="1137"/>
      <c r="AE57" s="1138"/>
      <c r="AF57" s="1139"/>
      <c r="AG57" s="1138"/>
      <c r="AH57" s="1139"/>
      <c r="AI57" s="1140"/>
      <c r="AJ57" s="1137"/>
      <c r="AK57" s="1138"/>
      <c r="AL57" s="1139"/>
      <c r="AM57" s="1138"/>
      <c r="AN57" s="1139"/>
      <c r="AO57" s="1138"/>
      <c r="AP57" s="1139"/>
      <c r="AQ57" s="1138"/>
      <c r="AR57" s="1139"/>
      <c r="AS57" s="1138"/>
      <c r="AT57" s="1139"/>
      <c r="AU57" s="1138"/>
      <c r="AV57" s="1139">
        <f t="shared" si="0"/>
        <v>0</v>
      </c>
      <c r="AW57" s="1138">
        <f t="shared" si="0"/>
        <v>0</v>
      </c>
      <c r="AX57" s="1139"/>
      <c r="AY57" s="1138"/>
      <c r="AZ57" s="1139">
        <f t="shared" si="1"/>
        <v>0</v>
      </c>
      <c r="BA57" s="1140">
        <f t="shared" si="1"/>
        <v>0</v>
      </c>
    </row>
    <row r="58" spans="1:53" x14ac:dyDescent="0.3">
      <c r="A58" s="1205" t="s">
        <v>0</v>
      </c>
      <c r="B58" s="1137"/>
      <c r="C58" s="1138"/>
      <c r="D58" s="1139"/>
      <c r="E58" s="1138"/>
      <c r="F58" s="1139"/>
      <c r="G58" s="1138"/>
      <c r="H58" s="1139"/>
      <c r="I58" s="1138"/>
      <c r="J58" s="1139"/>
      <c r="K58" s="1138"/>
      <c r="L58" s="1139"/>
      <c r="M58" s="1140"/>
      <c r="N58" s="1137"/>
      <c r="O58" s="1140"/>
      <c r="P58" s="1137"/>
      <c r="Q58" s="1140"/>
      <c r="R58" s="1137"/>
      <c r="S58" s="1140"/>
      <c r="T58" s="1137"/>
      <c r="U58" s="1140"/>
      <c r="V58" s="1137"/>
      <c r="W58" s="1140"/>
      <c r="X58" s="1137"/>
      <c r="Y58" s="1138"/>
      <c r="Z58" s="1139"/>
      <c r="AA58" s="1138"/>
      <c r="AB58" s="1139"/>
      <c r="AC58" s="1140"/>
      <c r="AD58" s="1137"/>
      <c r="AE58" s="1138"/>
      <c r="AF58" s="1139"/>
      <c r="AG58" s="1138"/>
      <c r="AH58" s="1139"/>
      <c r="AI58" s="1140"/>
      <c r="AJ58" s="1137"/>
      <c r="AK58" s="1138"/>
      <c r="AL58" s="1139"/>
      <c r="AM58" s="1138"/>
      <c r="AN58" s="1139"/>
      <c r="AO58" s="1138"/>
      <c r="AP58" s="1139"/>
      <c r="AQ58" s="1138"/>
      <c r="AR58" s="1139"/>
      <c r="AS58" s="1138"/>
      <c r="AT58" s="1139"/>
      <c r="AU58" s="1138"/>
      <c r="AV58" s="1139">
        <f t="shared" si="0"/>
        <v>0</v>
      </c>
      <c r="AW58" s="1138">
        <f t="shared" si="0"/>
        <v>0</v>
      </c>
      <c r="AX58" s="1139"/>
      <c r="AY58" s="1138"/>
      <c r="AZ58" s="1139">
        <f t="shared" si="1"/>
        <v>0</v>
      </c>
      <c r="BA58" s="1140">
        <f t="shared" si="1"/>
        <v>0</v>
      </c>
    </row>
    <row r="59" spans="1:53" x14ac:dyDescent="0.3">
      <c r="A59" s="399" t="s">
        <v>296</v>
      </c>
      <c r="B59" s="1137">
        <v>39615.26</v>
      </c>
      <c r="C59" s="1138">
        <v>41811</v>
      </c>
      <c r="D59" s="1139"/>
      <c r="E59" s="1138"/>
      <c r="F59" s="1139">
        <v>2107.79</v>
      </c>
      <c r="G59" s="1138"/>
      <c r="H59" s="1139">
        <v>233509</v>
      </c>
      <c r="I59" s="1138">
        <v>184011</v>
      </c>
      <c r="J59" s="1139">
        <v>61642</v>
      </c>
      <c r="K59" s="1138">
        <v>36250</v>
      </c>
      <c r="L59" s="1139"/>
      <c r="M59" s="1140"/>
      <c r="N59" s="1137">
        <v>157</v>
      </c>
      <c r="O59" s="1140">
        <v>31</v>
      </c>
      <c r="P59" s="1137"/>
      <c r="Q59" s="1140"/>
      <c r="R59" s="1137">
        <v>3024.64</v>
      </c>
      <c r="S59" s="1140">
        <v>2475</v>
      </c>
      <c r="T59" s="1137">
        <v>449.58</v>
      </c>
      <c r="U59" s="1140">
        <v>5234</v>
      </c>
      <c r="V59" s="1137">
        <v>144955.14000000001</v>
      </c>
      <c r="W59" s="1140">
        <v>73029</v>
      </c>
      <c r="X59" s="1137">
        <v>105506.37</v>
      </c>
      <c r="Y59" s="1138">
        <v>59967</v>
      </c>
      <c r="Z59" s="1139"/>
      <c r="AA59" s="1138"/>
      <c r="AB59" s="1139">
        <v>886</v>
      </c>
      <c r="AC59" s="1140">
        <v>630</v>
      </c>
      <c r="AD59" s="1137">
        <v>22621.27</v>
      </c>
      <c r="AE59" s="1138">
        <v>19111</v>
      </c>
      <c r="AF59" s="1139">
        <v>10000</v>
      </c>
      <c r="AG59" s="1138">
        <v>37000</v>
      </c>
      <c r="AH59" s="1139">
        <v>32500</v>
      </c>
      <c r="AI59" s="1140">
        <v>19500</v>
      </c>
      <c r="AJ59" s="1137">
        <v>5120.3599999999997</v>
      </c>
      <c r="AK59" s="1138">
        <v>4087</v>
      </c>
      <c r="AL59" s="1139"/>
      <c r="AM59" s="1138"/>
      <c r="AN59" s="1139">
        <v>92000</v>
      </c>
      <c r="AO59" s="1138">
        <v>87500</v>
      </c>
      <c r="AP59" s="1139"/>
      <c r="AQ59" s="1138"/>
      <c r="AR59" s="1139"/>
      <c r="AS59" s="1138">
        <v>1404</v>
      </c>
      <c r="AT59" s="1139"/>
      <c r="AU59" s="1138"/>
      <c r="AV59" s="1139">
        <f t="shared" si="0"/>
        <v>754094.41</v>
      </c>
      <c r="AW59" s="1138">
        <f t="shared" si="0"/>
        <v>572040</v>
      </c>
      <c r="AX59" s="1139">
        <v>155803</v>
      </c>
      <c r="AY59" s="1138">
        <v>60496</v>
      </c>
      <c r="AZ59" s="1139">
        <f t="shared" si="1"/>
        <v>909897.41</v>
      </c>
      <c r="BA59" s="1140">
        <f t="shared" si="1"/>
        <v>632536</v>
      </c>
    </row>
    <row r="60" spans="1:53" x14ac:dyDescent="0.3">
      <c r="A60" s="399" t="s">
        <v>297</v>
      </c>
      <c r="B60" s="1137">
        <v>234.47</v>
      </c>
      <c r="C60" s="1138">
        <v>234</v>
      </c>
      <c r="D60" s="1139"/>
      <c r="E60" s="1138"/>
      <c r="F60" s="1139">
        <v>108.97</v>
      </c>
      <c r="G60" s="1138">
        <v>174</v>
      </c>
      <c r="H60" s="1139"/>
      <c r="I60" s="1138"/>
      <c r="J60" s="1139">
        <v>34</v>
      </c>
      <c r="K60" s="1138">
        <v>6</v>
      </c>
      <c r="L60" s="1139"/>
      <c r="M60" s="1140"/>
      <c r="N60" s="1137">
        <v>26</v>
      </c>
      <c r="O60" s="1140">
        <v>25</v>
      </c>
      <c r="P60" s="1137"/>
      <c r="Q60" s="1140"/>
      <c r="R60" s="1137"/>
      <c r="S60" s="1140"/>
      <c r="T60" s="1137">
        <v>443</v>
      </c>
      <c r="U60" s="1140">
        <v>671</v>
      </c>
      <c r="V60" s="1137">
        <v>53</v>
      </c>
      <c r="W60" s="1140">
        <v>1</v>
      </c>
      <c r="X60" s="1137">
        <f>12+414+85</f>
        <v>511</v>
      </c>
      <c r="Y60" s="1138">
        <f>6+75+89</f>
        <v>170</v>
      </c>
      <c r="Z60" s="1139"/>
      <c r="AA60" s="1138"/>
      <c r="AB60" s="1139"/>
      <c r="AC60" s="1140"/>
      <c r="AD60" s="1137">
        <v>41.13</v>
      </c>
      <c r="AE60" s="1138">
        <v>41</v>
      </c>
      <c r="AF60" s="1139">
        <v>2709</v>
      </c>
      <c r="AG60" s="1138">
        <v>2767</v>
      </c>
      <c r="AH60" s="1139">
        <v>106</v>
      </c>
      <c r="AI60" s="1140">
        <v>150</v>
      </c>
      <c r="AJ60" s="1137">
        <v>104.19</v>
      </c>
      <c r="AK60" s="1138">
        <v>152</v>
      </c>
      <c r="AL60" s="1139"/>
      <c r="AM60" s="1138"/>
      <c r="AN60" s="1139">
        <v>100</v>
      </c>
      <c r="AO60" s="1138">
        <v>100</v>
      </c>
      <c r="AP60" s="1139"/>
      <c r="AQ60" s="1138"/>
      <c r="AR60" s="1139">
        <v>70</v>
      </c>
      <c r="AS60" s="1138">
        <v>70</v>
      </c>
      <c r="AT60" s="1139">
        <v>150.77000000000001</v>
      </c>
      <c r="AU60" s="1138">
        <v>972</v>
      </c>
      <c r="AV60" s="1139">
        <f t="shared" si="0"/>
        <v>4691.53</v>
      </c>
      <c r="AW60" s="1138">
        <f t="shared" si="0"/>
        <v>5533</v>
      </c>
      <c r="AX60" s="1139">
        <v>1425</v>
      </c>
      <c r="AY60" s="1138">
        <v>1355.69</v>
      </c>
      <c r="AZ60" s="1139">
        <f t="shared" si="1"/>
        <v>6116.53</v>
      </c>
      <c r="BA60" s="1140">
        <f t="shared" si="1"/>
        <v>6888.6900000000005</v>
      </c>
    </row>
    <row r="61" spans="1:53" x14ac:dyDescent="0.3">
      <c r="A61" s="399" t="s">
        <v>298</v>
      </c>
      <c r="B61" s="1137"/>
      <c r="C61" s="1138"/>
      <c r="D61" s="1139"/>
      <c r="E61" s="1138"/>
      <c r="F61" s="1139"/>
      <c r="G61" s="1138"/>
      <c r="H61" s="1139"/>
      <c r="I61" s="1138"/>
      <c r="J61" s="1139"/>
      <c r="K61" s="1138"/>
      <c r="L61" s="1139"/>
      <c r="M61" s="1140"/>
      <c r="N61" s="1137"/>
      <c r="O61" s="1140"/>
      <c r="P61" s="1137"/>
      <c r="Q61" s="1140"/>
      <c r="R61" s="1137"/>
      <c r="S61" s="1140"/>
      <c r="T61" s="1137"/>
      <c r="U61" s="1140"/>
      <c r="V61" s="1137"/>
      <c r="W61" s="1140"/>
      <c r="X61" s="1137"/>
      <c r="Y61" s="1138"/>
      <c r="Z61" s="1139"/>
      <c r="AA61" s="1138"/>
      <c r="AB61" s="1139"/>
      <c r="AC61" s="1140"/>
      <c r="AD61" s="1137"/>
      <c r="AE61" s="1138"/>
      <c r="AF61" s="1139"/>
      <c r="AG61" s="1138"/>
      <c r="AH61" s="1139"/>
      <c r="AI61" s="1140"/>
      <c r="AJ61" s="1137"/>
      <c r="AK61" s="1138"/>
      <c r="AL61" s="1139"/>
      <c r="AM61" s="1138"/>
      <c r="AN61" s="1139"/>
      <c r="AO61" s="1138"/>
      <c r="AP61" s="1139"/>
      <c r="AQ61" s="1138"/>
      <c r="AR61" s="1139"/>
      <c r="AS61" s="1138"/>
      <c r="AT61" s="1139"/>
      <c r="AU61" s="1138"/>
      <c r="AV61" s="1139">
        <f t="shared" si="0"/>
        <v>0</v>
      </c>
      <c r="AW61" s="1138">
        <f t="shared" si="0"/>
        <v>0</v>
      </c>
      <c r="AX61" s="1139"/>
      <c r="AY61" s="1138"/>
      <c r="AZ61" s="1139">
        <f t="shared" si="1"/>
        <v>0</v>
      </c>
      <c r="BA61" s="1140">
        <f t="shared" si="1"/>
        <v>0</v>
      </c>
    </row>
    <row r="62" spans="1:53" x14ac:dyDescent="0.3">
      <c r="A62" s="399" t="s">
        <v>299</v>
      </c>
      <c r="B62" s="1137">
        <v>25</v>
      </c>
      <c r="C62" s="1138">
        <v>25</v>
      </c>
      <c r="D62" s="1139">
        <v>25</v>
      </c>
      <c r="E62" s="1138">
        <v>25</v>
      </c>
      <c r="F62" s="1139"/>
      <c r="G62" s="1138"/>
      <c r="H62" s="1139">
        <v>41</v>
      </c>
      <c r="I62" s="1138">
        <v>41</v>
      </c>
      <c r="J62" s="1139">
        <v>25</v>
      </c>
      <c r="K62" s="1138">
        <v>25</v>
      </c>
      <c r="L62" s="1139">
        <v>2.29</v>
      </c>
      <c r="M62" s="1140">
        <v>2</v>
      </c>
      <c r="N62" s="1137"/>
      <c r="O62" s="1140"/>
      <c r="P62" s="1137"/>
      <c r="Q62" s="1140"/>
      <c r="R62" s="1137"/>
      <c r="S62" s="1140"/>
      <c r="T62" s="1137"/>
      <c r="U62" s="1140"/>
      <c r="V62" s="1137">
        <v>35.090000000000003</v>
      </c>
      <c r="W62" s="1140">
        <v>36</v>
      </c>
      <c r="X62" s="1137"/>
      <c r="Y62" s="1138"/>
      <c r="Z62" s="1139">
        <v>25</v>
      </c>
      <c r="AA62" s="1138">
        <v>25</v>
      </c>
      <c r="AB62" s="1139"/>
      <c r="AC62" s="1140"/>
      <c r="AD62" s="1137">
        <v>45.04</v>
      </c>
      <c r="AE62" s="1138">
        <v>45</v>
      </c>
      <c r="AF62" s="1139">
        <v>25</v>
      </c>
      <c r="AG62" s="1138">
        <v>25</v>
      </c>
      <c r="AH62" s="1139">
        <v>40.26</v>
      </c>
      <c r="AI62" s="1140">
        <v>44</v>
      </c>
      <c r="AJ62" s="1137">
        <v>11.22</v>
      </c>
      <c r="AK62" s="1138">
        <v>12</v>
      </c>
      <c r="AL62" s="1139"/>
      <c r="AM62" s="1138"/>
      <c r="AN62" s="1139"/>
      <c r="AO62" s="1138"/>
      <c r="AP62" s="1139"/>
      <c r="AQ62" s="1138">
        <v>25</v>
      </c>
      <c r="AR62" s="1139">
        <v>25</v>
      </c>
      <c r="AS62" s="1138">
        <v>25</v>
      </c>
      <c r="AT62" s="1139">
        <v>85.6</v>
      </c>
      <c r="AU62" s="1138">
        <v>124</v>
      </c>
      <c r="AV62" s="1139">
        <f t="shared" si="0"/>
        <v>410.5</v>
      </c>
      <c r="AW62" s="1138">
        <f t="shared" si="0"/>
        <v>479</v>
      </c>
      <c r="AX62" s="1139">
        <v>8</v>
      </c>
      <c r="AY62" s="1138">
        <v>8</v>
      </c>
      <c r="AZ62" s="1139">
        <f t="shared" si="1"/>
        <v>418.5</v>
      </c>
      <c r="BA62" s="1140">
        <f t="shared" si="1"/>
        <v>487</v>
      </c>
    </row>
    <row r="63" spans="1:53" x14ac:dyDescent="0.3">
      <c r="A63" s="399" t="s">
        <v>305</v>
      </c>
      <c r="B63" s="1137"/>
      <c r="C63" s="1138"/>
      <c r="D63" s="1139">
        <v>820.52</v>
      </c>
      <c r="E63" s="1138">
        <v>821</v>
      </c>
      <c r="F63" s="1139">
        <f>6594+6514</f>
        <v>13108</v>
      </c>
      <c r="G63" s="1138">
        <f>6726+6647</f>
        <v>13373</v>
      </c>
      <c r="H63" s="1139" t="s">
        <v>397</v>
      </c>
      <c r="I63" s="1138"/>
      <c r="J63" s="1139">
        <v>1929</v>
      </c>
      <c r="K63" s="1138">
        <v>1923</v>
      </c>
      <c r="L63" s="1139">
        <v>50.5</v>
      </c>
      <c r="M63" s="1140">
        <v>50</v>
      </c>
      <c r="N63" s="1137">
        <v>1825</v>
      </c>
      <c r="O63" s="1140">
        <v>1331</v>
      </c>
      <c r="P63" s="1137"/>
      <c r="Q63" s="1140"/>
      <c r="R63" s="1137">
        <v>25356.45</v>
      </c>
      <c r="S63" s="1140">
        <v>28174</v>
      </c>
      <c r="T63" s="1137">
        <v>456.36</v>
      </c>
      <c r="U63" s="1140">
        <v>519</v>
      </c>
      <c r="V63" s="1137">
        <v>14297.14</v>
      </c>
      <c r="W63" s="1140">
        <v>10118</v>
      </c>
      <c r="X63" s="1137">
        <v>15370</v>
      </c>
      <c r="Y63" s="1138">
        <v>15370</v>
      </c>
      <c r="Z63" s="1139">
        <v>4889.7299999999996</v>
      </c>
      <c r="AA63" s="1138">
        <v>7425</v>
      </c>
      <c r="AB63" s="1139">
        <v>6461</v>
      </c>
      <c r="AC63" s="1140">
        <v>7978</v>
      </c>
      <c r="AD63" s="1137">
        <v>22541.72</v>
      </c>
      <c r="AE63" s="1138">
        <v>23603</v>
      </c>
      <c r="AF63" s="1139">
        <v>587</v>
      </c>
      <c r="AG63" s="1138"/>
      <c r="AH63" s="1139">
        <v>1506.27</v>
      </c>
      <c r="AI63" s="1140">
        <v>1506</v>
      </c>
      <c r="AJ63" s="1137">
        <v>16113.23</v>
      </c>
      <c r="AK63" s="1138">
        <v>16062</v>
      </c>
      <c r="AL63" s="1139"/>
      <c r="AM63" s="1138"/>
      <c r="AN63" s="1139"/>
      <c r="AO63" s="1138"/>
      <c r="AP63" s="1139"/>
      <c r="AQ63" s="1138"/>
      <c r="AR63" s="1139">
        <v>8533.6299999999992</v>
      </c>
      <c r="AS63" s="1138">
        <v>8701</v>
      </c>
      <c r="AT63" s="1139"/>
      <c r="AU63" s="1138"/>
      <c r="AV63" s="1139" t="e">
        <f t="shared" si="0"/>
        <v>#VALUE!</v>
      </c>
      <c r="AW63" s="1138">
        <f t="shared" si="0"/>
        <v>136954</v>
      </c>
      <c r="AX63" s="1139">
        <v>2468843</v>
      </c>
      <c r="AY63" s="1138">
        <v>4484130</v>
      </c>
      <c r="AZ63" s="1139" t="e">
        <f t="shared" si="1"/>
        <v>#VALUE!</v>
      </c>
      <c r="BA63" s="1140">
        <f t="shared" si="1"/>
        <v>4621084</v>
      </c>
    </row>
    <row r="64" spans="1:53" x14ac:dyDescent="0.3">
      <c r="A64" s="399" t="s">
        <v>300</v>
      </c>
      <c r="B64" s="1137"/>
      <c r="C64" s="1138"/>
      <c r="D64" s="1139"/>
      <c r="E64" s="1138"/>
      <c r="F64" s="1139"/>
      <c r="G64" s="1138"/>
      <c r="H64" s="1139"/>
      <c r="I64" s="1138"/>
      <c r="J64" s="1139"/>
      <c r="K64" s="1138"/>
      <c r="L64" s="1139">
        <v>15325.92</v>
      </c>
      <c r="M64" s="1140">
        <v>16092</v>
      </c>
      <c r="N64" s="1137"/>
      <c r="O64" s="1140"/>
      <c r="P64" s="1137"/>
      <c r="Q64" s="1140"/>
      <c r="R64" s="1137"/>
      <c r="S64" s="1140"/>
      <c r="T64" s="1137"/>
      <c r="U64" s="1140"/>
      <c r="V64" s="1137"/>
      <c r="W64" s="1140"/>
      <c r="X64" s="1137"/>
      <c r="Y64" s="1138"/>
      <c r="Z64" s="1139"/>
      <c r="AA64" s="1138"/>
      <c r="AB64" s="1139"/>
      <c r="AC64" s="1140"/>
      <c r="AD64" s="1137"/>
      <c r="AE64" s="1138"/>
      <c r="AF64" s="1139"/>
      <c r="AG64" s="1138"/>
      <c r="AH64" s="1139"/>
      <c r="AI64" s="1140"/>
      <c r="AJ64" s="1137"/>
      <c r="AK64" s="1138"/>
      <c r="AL64" s="1139"/>
      <c r="AM64" s="1138"/>
      <c r="AN64" s="1139"/>
      <c r="AO64" s="1138"/>
      <c r="AP64" s="1139"/>
      <c r="AQ64" s="1138"/>
      <c r="AR64" s="1139"/>
      <c r="AS64" s="1138"/>
      <c r="AT64" s="1139"/>
      <c r="AU64" s="1138"/>
      <c r="AV64" s="1139">
        <f t="shared" si="0"/>
        <v>15325.92</v>
      </c>
      <c r="AW64" s="1138">
        <f t="shared" si="0"/>
        <v>16092</v>
      </c>
      <c r="AX64" s="1139"/>
      <c r="AY64" s="1138"/>
      <c r="AZ64" s="1139">
        <f t="shared" si="1"/>
        <v>15325.92</v>
      </c>
      <c r="BA64" s="1140">
        <f t="shared" si="1"/>
        <v>16092</v>
      </c>
    </row>
    <row r="65" spans="1:53" x14ac:dyDescent="0.3">
      <c r="A65" s="399" t="s">
        <v>304</v>
      </c>
      <c r="B65" s="1137"/>
      <c r="C65" s="1138"/>
      <c r="D65" s="1139">
        <v>760.56</v>
      </c>
      <c r="E65" s="1138">
        <v>654</v>
      </c>
      <c r="F65" s="1139">
        <v>2189.25</v>
      </c>
      <c r="G65" s="1138">
        <v>2012</v>
      </c>
      <c r="H65" s="1139">
        <v>6118.28</v>
      </c>
      <c r="I65" s="1138">
        <v>7426</v>
      </c>
      <c r="J65" s="1139"/>
      <c r="K65" s="1138"/>
      <c r="L65" s="1139">
        <v>3493.54</v>
      </c>
      <c r="M65" s="1140">
        <v>4698</v>
      </c>
      <c r="N65" s="1137"/>
      <c r="O65" s="1140"/>
      <c r="P65" s="1137"/>
      <c r="Q65" s="1140"/>
      <c r="R65" s="1137"/>
      <c r="S65" s="1140"/>
      <c r="T65" s="1137">
        <v>1091.8499999999999</v>
      </c>
      <c r="U65" s="1140">
        <v>1938</v>
      </c>
      <c r="V65" s="1137"/>
      <c r="W65" s="1140"/>
      <c r="X65" s="1137">
        <f>720+7294</f>
        <v>8014</v>
      </c>
      <c r="Y65" s="1138">
        <f>935+17917</f>
        <v>18852</v>
      </c>
      <c r="Z65" s="1139"/>
      <c r="AA65" s="1138"/>
      <c r="AB65" s="1139"/>
      <c r="AC65" s="1140"/>
      <c r="AD65" s="1137"/>
      <c r="AE65" s="1138"/>
      <c r="AF65" s="1139"/>
      <c r="AG65" s="1138"/>
      <c r="AH65" s="1139"/>
      <c r="AI65" s="1140"/>
      <c r="AJ65" s="1137"/>
      <c r="AK65" s="1138"/>
      <c r="AL65" s="1139"/>
      <c r="AM65" s="1138"/>
      <c r="AN65" s="1139"/>
      <c r="AO65" s="1138"/>
      <c r="AP65" s="1139"/>
      <c r="AQ65" s="1138"/>
      <c r="AR65" s="1139"/>
      <c r="AS65" s="1138"/>
      <c r="AT65" s="1139"/>
      <c r="AU65" s="1138"/>
      <c r="AV65" s="1139">
        <f t="shared" si="0"/>
        <v>21667.480000000003</v>
      </c>
      <c r="AW65" s="1138">
        <f t="shared" si="0"/>
        <v>35580</v>
      </c>
      <c r="AX65" s="1139">
        <f>40737+8093</f>
        <v>48830</v>
      </c>
      <c r="AY65" s="1138">
        <f>48512+17497.87</f>
        <v>66009.87</v>
      </c>
      <c r="AZ65" s="1139">
        <f t="shared" si="1"/>
        <v>70497.48000000001</v>
      </c>
      <c r="BA65" s="1140">
        <f t="shared" si="1"/>
        <v>101589.87</v>
      </c>
    </row>
    <row r="66" spans="1:53" x14ac:dyDescent="0.3">
      <c r="A66" s="399" t="s">
        <v>74</v>
      </c>
      <c r="B66" s="1137">
        <v>4412.05</v>
      </c>
      <c r="C66" s="1138">
        <v>5031</v>
      </c>
      <c r="D66" s="1139">
        <v>19.28</v>
      </c>
      <c r="E66" s="1138">
        <v>19</v>
      </c>
      <c r="F66" s="1139"/>
      <c r="G66" s="1138"/>
      <c r="H66" s="1139">
        <v>753.93</v>
      </c>
      <c r="I66" s="1138">
        <v>757</v>
      </c>
      <c r="J66" s="1139">
        <v>3332</v>
      </c>
      <c r="K66" s="1138">
        <v>4183</v>
      </c>
      <c r="L66" s="1139"/>
      <c r="M66" s="1140"/>
      <c r="N66" s="1137">
        <f>81+1937</f>
        <v>2018</v>
      </c>
      <c r="O66" s="1140">
        <f>81+2864</f>
        <v>2945</v>
      </c>
      <c r="P66" s="1137">
        <v>84</v>
      </c>
      <c r="Q66" s="1140">
        <v>83</v>
      </c>
      <c r="R66" s="1137">
        <f>3657.92+7525.3</f>
        <v>11183.220000000001</v>
      </c>
      <c r="S66" s="1140">
        <f>4073+8225</f>
        <v>12298</v>
      </c>
      <c r="T66" s="1137">
        <v>9111</v>
      </c>
      <c r="U66" s="1140">
        <v>9111</v>
      </c>
      <c r="V66" s="1137">
        <v>4089.34</v>
      </c>
      <c r="W66" s="1140">
        <v>4531</v>
      </c>
      <c r="X66" s="1137"/>
      <c r="Y66" s="1138"/>
      <c r="Z66" s="1139">
        <v>1462.37</v>
      </c>
      <c r="AA66" s="1138">
        <v>1976</v>
      </c>
      <c r="AB66" s="1139">
        <v>4251</v>
      </c>
      <c r="AC66" s="1140">
        <v>6389</v>
      </c>
      <c r="AD66" s="1137">
        <v>1596.36</v>
      </c>
      <c r="AE66" s="1138">
        <v>2097</v>
      </c>
      <c r="AF66" s="1139">
        <v>5399</v>
      </c>
      <c r="AG66" s="1138">
        <v>9460</v>
      </c>
      <c r="AH66" s="1139">
        <v>5799.45</v>
      </c>
      <c r="AI66" s="1140">
        <v>6451</v>
      </c>
      <c r="AJ66" s="1137">
        <v>3558.26</v>
      </c>
      <c r="AK66" s="1138">
        <v>3707</v>
      </c>
      <c r="AL66" s="1139"/>
      <c r="AM66" s="1138"/>
      <c r="AN66" s="1139">
        <f>17315.33+38894.14</f>
        <v>56209.47</v>
      </c>
      <c r="AO66" s="1138">
        <f>24053+27529</f>
        <v>51582</v>
      </c>
      <c r="AP66" s="1139">
        <v>581.35</v>
      </c>
      <c r="AQ66" s="1138">
        <v>636</v>
      </c>
      <c r="AR66" s="1139">
        <f>618.95+216.84</f>
        <v>835.79000000000008</v>
      </c>
      <c r="AS66" s="1138">
        <f>1220+284</f>
        <v>1504</v>
      </c>
      <c r="AT66" s="1139">
        <f>73.96+347.38+2063.76</f>
        <v>2485.1000000000004</v>
      </c>
      <c r="AU66" s="1138">
        <f>316+465+5656</f>
        <v>6437</v>
      </c>
      <c r="AV66" s="1139">
        <f t="shared" si="0"/>
        <v>117180.97000000002</v>
      </c>
      <c r="AW66" s="1138">
        <f t="shared" si="0"/>
        <v>129197</v>
      </c>
      <c r="AX66" s="1139"/>
      <c r="AY66" s="1138"/>
      <c r="AZ66" s="1139">
        <f t="shared" si="1"/>
        <v>117180.97000000002</v>
      </c>
      <c r="BA66" s="1140">
        <f t="shared" si="1"/>
        <v>129197</v>
      </c>
    </row>
    <row r="67" spans="1:53" s="1158" customFormat="1" ht="17.25" thickBot="1" x14ac:dyDescent="0.4">
      <c r="A67" s="1207" t="s">
        <v>54</v>
      </c>
      <c r="B67" s="1199"/>
      <c r="C67" s="1200"/>
      <c r="D67" s="1201">
        <v>1625.36</v>
      </c>
      <c r="E67" s="1200">
        <v>1519</v>
      </c>
      <c r="F67" s="1201"/>
      <c r="G67" s="1200"/>
      <c r="H67" s="1201">
        <v>240422</v>
      </c>
      <c r="I67" s="1200">
        <v>192234</v>
      </c>
      <c r="J67" s="1201">
        <v>66962</v>
      </c>
      <c r="K67" s="1200">
        <v>42387</v>
      </c>
      <c r="L67" s="1201">
        <v>18872.240000000002</v>
      </c>
      <c r="M67" s="1202">
        <v>20842</v>
      </c>
      <c r="N67" s="1199">
        <v>4026</v>
      </c>
      <c r="O67" s="1202">
        <v>4331</v>
      </c>
      <c r="P67" s="1199"/>
      <c r="Q67" s="1202"/>
      <c r="R67" s="1199">
        <v>39564.31</v>
      </c>
      <c r="S67" s="1202">
        <v>42947</v>
      </c>
      <c r="T67" s="1199">
        <v>11552.08</v>
      </c>
      <c r="U67" s="1202">
        <v>17473</v>
      </c>
      <c r="V67" s="1199">
        <v>163377.24</v>
      </c>
      <c r="W67" s="1202">
        <v>87715</v>
      </c>
      <c r="X67" s="1199">
        <v>127241</v>
      </c>
      <c r="Y67" s="1200">
        <v>94359</v>
      </c>
      <c r="Z67" s="1201">
        <v>6377.1</v>
      </c>
      <c r="AA67" s="1200">
        <v>9426</v>
      </c>
      <c r="AB67" s="1201">
        <v>11569</v>
      </c>
      <c r="AC67" s="1202">
        <v>14998</v>
      </c>
      <c r="AD67" s="1199">
        <v>46845.52</v>
      </c>
      <c r="AE67" s="1200">
        <v>44897</v>
      </c>
      <c r="AF67" s="1201">
        <v>18720</v>
      </c>
      <c r="AG67" s="1200">
        <v>49252</v>
      </c>
      <c r="AH67" s="1201">
        <v>39952.19</v>
      </c>
      <c r="AI67" s="1202">
        <v>27651</v>
      </c>
      <c r="AJ67" s="1199">
        <v>24907.26</v>
      </c>
      <c r="AK67" s="1200">
        <v>24020</v>
      </c>
      <c r="AL67" s="1201"/>
      <c r="AM67" s="1200"/>
      <c r="AN67" s="1201">
        <v>148309.03</v>
      </c>
      <c r="AO67" s="1200">
        <v>139182</v>
      </c>
      <c r="AP67" s="1201">
        <v>581.35</v>
      </c>
      <c r="AQ67" s="1200">
        <v>661</v>
      </c>
      <c r="AR67" s="1201">
        <v>9439.43</v>
      </c>
      <c r="AS67" s="1200">
        <v>11703</v>
      </c>
      <c r="AT67" s="1201">
        <v>2721.47</v>
      </c>
      <c r="AU67" s="1200">
        <v>7533</v>
      </c>
      <c r="AV67" s="1201">
        <f t="shared" si="0"/>
        <v>983064.58000000007</v>
      </c>
      <c r="AW67" s="1200">
        <f t="shared" si="0"/>
        <v>833130</v>
      </c>
      <c r="AX67" s="1201">
        <v>2674912</v>
      </c>
      <c r="AY67" s="1200">
        <v>4612000</v>
      </c>
      <c r="AZ67" s="1201">
        <f t="shared" si="1"/>
        <v>3657976.58</v>
      </c>
      <c r="BA67" s="1202">
        <f t="shared" si="1"/>
        <v>5445130</v>
      </c>
    </row>
  </sheetData>
  <mergeCells count="26">
    <mergeCell ref="B1:C1"/>
    <mergeCell ref="D1:E1"/>
    <mergeCell ref="F1:G1"/>
    <mergeCell ref="H1:I1"/>
    <mergeCell ref="J1:K1"/>
    <mergeCell ref="X1:Y1"/>
    <mergeCell ref="Z1:AA1"/>
    <mergeCell ref="AB1:AC1"/>
    <mergeCell ref="AD1:AE1"/>
    <mergeCell ref="L1:M1"/>
    <mergeCell ref="N1:O1"/>
    <mergeCell ref="P1:Q1"/>
    <mergeCell ref="R1:S1"/>
    <mergeCell ref="T1:U1"/>
    <mergeCell ref="V1:W1"/>
    <mergeCell ref="AF1:AG1"/>
    <mergeCell ref="AH1:AI1"/>
    <mergeCell ref="AX1:AY1"/>
    <mergeCell ref="AZ1:BA1"/>
    <mergeCell ref="AL1:AM1"/>
    <mergeCell ref="AN1:AO1"/>
    <mergeCell ref="AP1:AQ1"/>
    <mergeCell ref="AR1:AS1"/>
    <mergeCell ref="AT1:AU1"/>
    <mergeCell ref="AV1:AW1"/>
    <mergeCell ref="AJ1:AK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BA14"/>
  <sheetViews>
    <sheetView workbookViewId="0">
      <pane xSplit="1" topLeftCell="B1" activePane="topRight" state="frozen"/>
      <selection pane="topRight" activeCell="C18" sqref="C18"/>
    </sheetView>
  </sheetViews>
  <sheetFormatPr defaultRowHeight="15" x14ac:dyDescent="0.25"/>
  <cols>
    <col min="1" max="1" width="30.42578125" bestFit="1" customWidth="1"/>
    <col min="2" max="17" width="11.7109375" bestFit="1" customWidth="1"/>
    <col min="18" max="18" width="10.42578125" customWidth="1"/>
    <col min="19" max="53" width="11.7109375" bestFit="1" customWidth="1"/>
    <col min="54" max="54" width="10.7109375" customWidth="1"/>
    <col min="55" max="55" width="12" customWidth="1"/>
  </cols>
  <sheetData>
    <row r="1" spans="1:53" s="86" customFormat="1" ht="18" x14ac:dyDescent="0.35">
      <c r="A1" s="1297" t="s">
        <v>58</v>
      </c>
      <c r="B1" s="1297"/>
      <c r="C1" s="1297"/>
      <c r="D1" s="1297"/>
      <c r="E1" s="1297"/>
      <c r="F1" s="1297"/>
      <c r="G1" s="1297"/>
      <c r="H1" s="1297"/>
      <c r="I1" s="1297"/>
      <c r="J1" s="1297"/>
      <c r="K1" s="1297"/>
      <c r="L1" s="1297"/>
      <c r="M1" s="1297"/>
      <c r="N1" s="1297"/>
      <c r="O1" s="1297"/>
      <c r="P1" s="1297"/>
      <c r="Q1" s="1297"/>
      <c r="R1" s="1297"/>
      <c r="S1" s="1297"/>
      <c r="T1" s="1297"/>
      <c r="U1" s="1297"/>
      <c r="V1" s="1297"/>
      <c r="W1" s="1297"/>
      <c r="X1" s="1297"/>
      <c r="Y1" s="1297"/>
      <c r="Z1" s="1297"/>
      <c r="AA1" s="1297"/>
      <c r="AB1" s="1297"/>
      <c r="AC1" s="1297"/>
      <c r="AD1" s="1297"/>
      <c r="AE1" s="1297"/>
      <c r="AF1" s="1297"/>
      <c r="AG1" s="1297"/>
      <c r="AH1" s="1297"/>
      <c r="AI1" s="1297"/>
      <c r="AJ1" s="1297"/>
      <c r="AK1" s="1297"/>
      <c r="AL1" s="1297"/>
      <c r="AM1" s="1297"/>
      <c r="AN1" s="1297"/>
      <c r="AO1" s="1297"/>
      <c r="AP1" s="1297"/>
      <c r="AQ1" s="1297"/>
      <c r="AR1" s="1297"/>
      <c r="AS1" s="1297"/>
      <c r="AT1" s="1297"/>
      <c r="AU1" s="1297"/>
      <c r="AV1" s="1297"/>
      <c r="AW1" s="1297"/>
      <c r="AX1" s="1297"/>
      <c r="AY1" s="1297"/>
      <c r="AZ1" s="1297"/>
      <c r="BA1" s="1297"/>
    </row>
    <row r="2" spans="1:53" s="443" customFormat="1" ht="18" thickBot="1" x14ac:dyDescent="0.4">
      <c r="A2" s="1330" t="s">
        <v>389</v>
      </c>
      <c r="B2" s="1330"/>
      <c r="C2" s="1330"/>
      <c r="D2" s="1330"/>
      <c r="E2" s="1330"/>
      <c r="F2" s="1330"/>
      <c r="G2" s="1330"/>
      <c r="H2" s="1330"/>
      <c r="I2" s="1330"/>
      <c r="J2" s="1330"/>
      <c r="K2" s="1330"/>
      <c r="L2" s="1330"/>
      <c r="M2" s="1330"/>
      <c r="N2" s="1330"/>
      <c r="O2" s="1330"/>
      <c r="P2" s="1330"/>
      <c r="Q2" s="1330"/>
      <c r="R2" s="1330"/>
      <c r="S2" s="1330"/>
      <c r="T2" s="1330"/>
      <c r="U2" s="1330"/>
      <c r="V2" s="1330"/>
      <c r="W2" s="1330"/>
      <c r="X2" s="1330"/>
      <c r="Y2" s="1330"/>
      <c r="Z2" s="1330"/>
      <c r="AA2" s="1330"/>
      <c r="AB2" s="1330"/>
      <c r="AC2" s="1330"/>
      <c r="AD2" s="1330"/>
      <c r="AE2" s="1330"/>
      <c r="AF2" s="1330"/>
      <c r="AG2" s="1330"/>
      <c r="AH2" s="1330"/>
      <c r="AI2" s="1330"/>
      <c r="AJ2" s="1330"/>
      <c r="AK2" s="1330"/>
      <c r="AL2" s="1330"/>
      <c r="AM2" s="1330"/>
      <c r="AN2" s="1330"/>
      <c r="AO2" s="1330"/>
      <c r="AP2" s="1330"/>
      <c r="AQ2" s="1330"/>
      <c r="AR2" s="1330"/>
      <c r="AS2" s="1330"/>
      <c r="AT2" s="1330"/>
      <c r="AU2" s="1330"/>
      <c r="AV2" s="1330"/>
      <c r="AW2" s="1330"/>
      <c r="AX2" s="1330"/>
      <c r="AY2" s="1330"/>
      <c r="AZ2" s="1330"/>
      <c r="BA2" s="1330"/>
    </row>
    <row r="3" spans="1:53" s="86" customFormat="1" ht="62.25" customHeight="1" thickBot="1" x14ac:dyDescent="0.35">
      <c r="A3" s="1331" t="s">
        <v>0</v>
      </c>
      <c r="B3" s="1329" t="s">
        <v>159</v>
      </c>
      <c r="C3" s="1322"/>
      <c r="D3" s="1329" t="s">
        <v>160</v>
      </c>
      <c r="E3" s="1323"/>
      <c r="F3" s="1329" t="s">
        <v>161</v>
      </c>
      <c r="G3" s="1323"/>
      <c r="H3" s="1329" t="s">
        <v>162</v>
      </c>
      <c r="I3" s="1322"/>
      <c r="J3" s="1329" t="s">
        <v>163</v>
      </c>
      <c r="K3" s="1323"/>
      <c r="L3" s="1329" t="s">
        <v>164</v>
      </c>
      <c r="M3" s="1322"/>
      <c r="N3" s="1329" t="s">
        <v>315</v>
      </c>
      <c r="O3" s="1323"/>
      <c r="P3" s="1322" t="s">
        <v>165</v>
      </c>
      <c r="Q3" s="1322"/>
      <c r="R3" s="1329" t="s">
        <v>166</v>
      </c>
      <c r="S3" s="1323"/>
      <c r="T3" s="1329" t="s">
        <v>167</v>
      </c>
      <c r="U3" s="1323"/>
      <c r="V3" s="1329" t="s">
        <v>168</v>
      </c>
      <c r="W3" s="1322"/>
      <c r="X3" s="1329" t="s">
        <v>169</v>
      </c>
      <c r="Y3" s="1323"/>
      <c r="Z3" s="1329" t="s">
        <v>325</v>
      </c>
      <c r="AA3" s="1322"/>
      <c r="AB3" s="1329" t="s">
        <v>170</v>
      </c>
      <c r="AC3" s="1323"/>
      <c r="AD3" s="1326" t="s">
        <v>171</v>
      </c>
      <c r="AE3" s="1319"/>
      <c r="AF3" s="1329" t="s">
        <v>172</v>
      </c>
      <c r="AG3" s="1323"/>
      <c r="AH3" s="1329" t="s">
        <v>173</v>
      </c>
      <c r="AI3" s="1322"/>
      <c r="AJ3" s="1329" t="s">
        <v>174</v>
      </c>
      <c r="AK3" s="1323"/>
      <c r="AL3" s="1326" t="s">
        <v>175</v>
      </c>
      <c r="AM3" s="1319"/>
      <c r="AN3" s="1327" t="s">
        <v>176</v>
      </c>
      <c r="AO3" s="1328"/>
      <c r="AP3" s="1329" t="s">
        <v>177</v>
      </c>
      <c r="AQ3" s="1323"/>
      <c r="AR3" s="1329" t="s">
        <v>178</v>
      </c>
      <c r="AS3" s="1322"/>
      <c r="AT3" s="1322" t="s">
        <v>179</v>
      </c>
      <c r="AU3" s="1323"/>
      <c r="AV3" s="1329" t="s">
        <v>1</v>
      </c>
      <c r="AW3" s="1323"/>
      <c r="AX3" s="1326" t="s">
        <v>180</v>
      </c>
      <c r="AY3" s="1319"/>
      <c r="AZ3" s="1326" t="s">
        <v>2</v>
      </c>
      <c r="BA3" s="1319"/>
    </row>
    <row r="4" spans="1:53" s="444" customFormat="1" ht="15.75" thickBot="1" x14ac:dyDescent="0.3">
      <c r="A4" s="1332"/>
      <c r="B4" s="440" t="s">
        <v>321</v>
      </c>
      <c r="C4" s="441" t="s">
        <v>383</v>
      </c>
      <c r="D4" s="440" t="s">
        <v>321</v>
      </c>
      <c r="E4" s="441" t="s">
        <v>383</v>
      </c>
      <c r="F4" s="440" t="s">
        <v>321</v>
      </c>
      <c r="G4" s="441" t="s">
        <v>383</v>
      </c>
      <c r="H4" s="440" t="s">
        <v>321</v>
      </c>
      <c r="I4" s="441" t="s">
        <v>383</v>
      </c>
      <c r="J4" s="440" t="s">
        <v>321</v>
      </c>
      <c r="K4" s="441" t="s">
        <v>383</v>
      </c>
      <c r="L4" s="440" t="s">
        <v>321</v>
      </c>
      <c r="M4" s="441" t="s">
        <v>383</v>
      </c>
      <c r="N4" s="440" t="s">
        <v>321</v>
      </c>
      <c r="O4" s="441" t="s">
        <v>383</v>
      </c>
      <c r="P4" s="440" t="s">
        <v>321</v>
      </c>
      <c r="Q4" s="441" t="s">
        <v>383</v>
      </c>
      <c r="R4" s="440" t="s">
        <v>321</v>
      </c>
      <c r="S4" s="441" t="s">
        <v>383</v>
      </c>
      <c r="T4" s="440" t="s">
        <v>321</v>
      </c>
      <c r="U4" s="441" t="s">
        <v>383</v>
      </c>
      <c r="V4" s="440" t="s">
        <v>321</v>
      </c>
      <c r="W4" s="441" t="s">
        <v>383</v>
      </c>
      <c r="X4" s="440" t="s">
        <v>321</v>
      </c>
      <c r="Y4" s="441" t="s">
        <v>383</v>
      </c>
      <c r="Z4" s="440" t="s">
        <v>321</v>
      </c>
      <c r="AA4" s="441" t="s">
        <v>383</v>
      </c>
      <c r="AB4" s="440" t="s">
        <v>321</v>
      </c>
      <c r="AC4" s="441" t="s">
        <v>383</v>
      </c>
      <c r="AD4" s="440" t="s">
        <v>321</v>
      </c>
      <c r="AE4" s="441" t="s">
        <v>383</v>
      </c>
      <c r="AF4" s="440" t="s">
        <v>321</v>
      </c>
      <c r="AG4" s="441" t="s">
        <v>383</v>
      </c>
      <c r="AH4" s="440" t="s">
        <v>321</v>
      </c>
      <c r="AI4" s="441" t="s">
        <v>383</v>
      </c>
      <c r="AJ4" s="440" t="s">
        <v>321</v>
      </c>
      <c r="AK4" s="441" t="s">
        <v>383</v>
      </c>
      <c r="AL4" s="440" t="s">
        <v>321</v>
      </c>
      <c r="AM4" s="441" t="s">
        <v>383</v>
      </c>
      <c r="AN4" s="440" t="s">
        <v>321</v>
      </c>
      <c r="AO4" s="441" t="s">
        <v>383</v>
      </c>
      <c r="AP4" s="440" t="s">
        <v>321</v>
      </c>
      <c r="AQ4" s="441" t="s">
        <v>383</v>
      </c>
      <c r="AR4" s="440" t="s">
        <v>321</v>
      </c>
      <c r="AS4" s="441" t="s">
        <v>383</v>
      </c>
      <c r="AT4" s="440" t="s">
        <v>321</v>
      </c>
      <c r="AU4" s="441" t="s">
        <v>383</v>
      </c>
      <c r="AV4" s="440" t="s">
        <v>321</v>
      </c>
      <c r="AW4" s="441" t="s">
        <v>383</v>
      </c>
      <c r="AX4" s="440" t="s">
        <v>321</v>
      </c>
      <c r="AY4" s="441" t="s">
        <v>383</v>
      </c>
      <c r="AZ4" s="440" t="s">
        <v>321</v>
      </c>
      <c r="BA4" s="903" t="s">
        <v>383</v>
      </c>
    </row>
    <row r="5" spans="1:53" s="90" customFormat="1" ht="14.25" x14ac:dyDescent="0.25">
      <c r="A5" s="352" t="s">
        <v>21</v>
      </c>
      <c r="B5" s="166"/>
      <c r="C5" s="173"/>
      <c r="D5" s="166"/>
      <c r="E5" s="168"/>
      <c r="F5" s="166"/>
      <c r="G5" s="167"/>
      <c r="H5" s="166"/>
      <c r="I5" s="173"/>
      <c r="J5" s="166"/>
      <c r="K5" s="168"/>
      <c r="L5" s="166"/>
      <c r="M5" s="173"/>
      <c r="N5" s="166"/>
      <c r="O5" s="168"/>
      <c r="P5" s="169"/>
      <c r="Q5" s="173"/>
      <c r="R5" s="166"/>
      <c r="S5" s="168"/>
      <c r="T5" s="166"/>
      <c r="U5" s="168"/>
      <c r="V5" s="171"/>
      <c r="W5" s="175"/>
      <c r="X5" s="201"/>
      <c r="Y5" s="203"/>
      <c r="Z5" s="201"/>
      <c r="AA5" s="856"/>
      <c r="AB5" s="166"/>
      <c r="AC5" s="168"/>
      <c r="AD5" s="166"/>
      <c r="AE5" s="168"/>
      <c r="AF5" s="201"/>
      <c r="AG5" s="203"/>
      <c r="AH5" s="750"/>
      <c r="AI5" s="856"/>
      <c r="AJ5" s="166"/>
      <c r="AK5" s="168"/>
      <c r="AL5" s="201"/>
      <c r="AM5" s="203"/>
      <c r="AN5" s="201"/>
      <c r="AO5" s="203"/>
      <c r="AP5" s="166"/>
      <c r="AQ5" s="168"/>
      <c r="AR5" s="750"/>
      <c r="AS5" s="202"/>
      <c r="AT5" s="201"/>
      <c r="AU5" s="202"/>
      <c r="AV5" s="166"/>
      <c r="AW5" s="168"/>
      <c r="AX5" s="166"/>
      <c r="AY5" s="173"/>
      <c r="AZ5" s="166"/>
      <c r="BA5" s="168"/>
    </row>
    <row r="6" spans="1:53" s="90" customFormat="1" ht="14.25" x14ac:dyDescent="0.3">
      <c r="A6" s="87" t="s">
        <v>22</v>
      </c>
      <c r="B6" s="121"/>
      <c r="C6" s="854"/>
      <c r="D6" s="91"/>
      <c r="E6" s="93"/>
      <c r="F6" s="91"/>
      <c r="G6" s="92"/>
      <c r="H6" s="91"/>
      <c r="I6" s="94"/>
      <c r="J6" s="91"/>
      <c r="K6" s="93"/>
      <c r="L6" s="91"/>
      <c r="M6" s="94"/>
      <c r="N6" s="91"/>
      <c r="O6" s="93"/>
      <c r="P6" s="122"/>
      <c r="Q6" s="94"/>
      <c r="R6" s="91"/>
      <c r="S6" s="93"/>
      <c r="T6" s="91"/>
      <c r="U6" s="93"/>
      <c r="V6" s="123"/>
      <c r="W6" s="106"/>
      <c r="X6" s="91"/>
      <c r="Y6" s="93"/>
      <c r="Z6" s="98"/>
      <c r="AA6" s="857"/>
      <c r="AB6" s="91"/>
      <c r="AC6" s="93"/>
      <c r="AD6" s="91"/>
      <c r="AE6" s="93"/>
      <c r="AF6" s="91"/>
      <c r="AG6" s="93"/>
      <c r="AH6" s="122"/>
      <c r="AI6" s="94"/>
      <c r="AJ6" s="91"/>
      <c r="AK6" s="93"/>
      <c r="AL6" s="100"/>
      <c r="AM6" s="93"/>
      <c r="AN6" s="577"/>
      <c r="AO6" s="89"/>
      <c r="AP6" s="862"/>
      <c r="AQ6" s="751"/>
      <c r="AR6" s="354"/>
      <c r="AS6" s="101"/>
      <c r="AT6" s="91"/>
      <c r="AU6" s="92"/>
      <c r="AV6" s="102"/>
      <c r="AW6" s="863"/>
      <c r="AX6" s="864"/>
      <c r="AY6" s="1235"/>
      <c r="AZ6" s="102"/>
      <c r="BA6" s="863"/>
    </row>
    <row r="7" spans="1:53" s="90" customFormat="1" ht="14.25" x14ac:dyDescent="0.3">
      <c r="A7" s="349" t="s">
        <v>23</v>
      </c>
      <c r="B7" s="353">
        <v>33165.71</v>
      </c>
      <c r="C7" s="855">
        <v>45495</v>
      </c>
      <c r="D7" s="95">
        <v>867.7</v>
      </c>
      <c r="E7" s="97">
        <v>41</v>
      </c>
      <c r="F7" s="95">
        <v>3719.73</v>
      </c>
      <c r="G7" s="96">
        <v>5073</v>
      </c>
      <c r="H7" s="95">
        <v>48885.46</v>
      </c>
      <c r="I7" s="106">
        <v>88288</v>
      </c>
      <c r="J7" s="95">
        <v>10672.09</v>
      </c>
      <c r="K7" s="97">
        <v>14005</v>
      </c>
      <c r="L7" s="95">
        <v>13614.56</v>
      </c>
      <c r="M7" s="106">
        <v>23918</v>
      </c>
      <c r="N7" s="95">
        <v>2585</v>
      </c>
      <c r="O7" s="97">
        <v>3077</v>
      </c>
      <c r="P7" s="123">
        <v>5778.23</v>
      </c>
      <c r="Q7" s="106">
        <v>6871</v>
      </c>
      <c r="R7" s="95">
        <v>12884.71</v>
      </c>
      <c r="S7" s="97">
        <v>15269</v>
      </c>
      <c r="T7" s="95">
        <v>9102.77</v>
      </c>
      <c r="U7" s="97">
        <v>16024</v>
      </c>
      <c r="V7" s="123">
        <v>128556.45</v>
      </c>
      <c r="W7" s="106">
        <v>155597</v>
      </c>
      <c r="X7" s="95">
        <v>88026.36</v>
      </c>
      <c r="Y7" s="97">
        <v>103851</v>
      </c>
      <c r="Z7" s="95">
        <v>3862.02</v>
      </c>
      <c r="AA7" s="858">
        <v>6151</v>
      </c>
      <c r="AB7" s="91">
        <v>14954.73</v>
      </c>
      <c r="AC7" s="93">
        <v>29468.46</v>
      </c>
      <c r="AD7" s="95">
        <v>31294.48</v>
      </c>
      <c r="AE7" s="97">
        <v>49783</v>
      </c>
      <c r="AF7" s="95">
        <v>80411.100000000006</v>
      </c>
      <c r="AG7" s="97">
        <v>92825</v>
      </c>
      <c r="AH7" s="123">
        <v>23311.62</v>
      </c>
      <c r="AI7" s="106">
        <v>32713</v>
      </c>
      <c r="AJ7" s="95">
        <v>16970.89</v>
      </c>
      <c r="AK7" s="97">
        <v>24041</v>
      </c>
      <c r="AL7" s="100"/>
      <c r="AM7" s="93"/>
      <c r="AN7" s="671">
        <v>140469.54</v>
      </c>
      <c r="AO7" s="672">
        <v>257035</v>
      </c>
      <c r="AP7" s="447">
        <v>10510.66</v>
      </c>
      <c r="AQ7" s="732">
        <v>12718.53</v>
      </c>
      <c r="AR7" s="355">
        <v>24560.1</v>
      </c>
      <c r="AS7" s="112">
        <v>53630</v>
      </c>
      <c r="AT7" s="95">
        <v>58156.22</v>
      </c>
      <c r="AU7" s="96">
        <v>107524</v>
      </c>
      <c r="AV7" s="113">
        <f t="shared" ref="AV7:AW9" si="0">SUM(B7+D7+F7+H7+J7+L7+N7+P7+R7+T7+V7+X7+Z7+AB7+AD7+AF7+AH7+AJ7+AL7+AN7+AP7+AR7+AT7)</f>
        <v>762360.13</v>
      </c>
      <c r="AW7" s="114">
        <f t="shared" si="0"/>
        <v>1143397.99</v>
      </c>
      <c r="AX7" s="111">
        <v>508823.02</v>
      </c>
      <c r="AY7" s="898">
        <v>742931</v>
      </c>
      <c r="AZ7" s="113">
        <f t="shared" ref="AZ7:BA10" si="1">AV7+AX7</f>
        <v>1271183.1499999999</v>
      </c>
      <c r="BA7" s="118">
        <f t="shared" si="1"/>
        <v>1886328.99</v>
      </c>
    </row>
    <row r="8" spans="1:53" s="90" customFormat="1" ht="14.25" x14ac:dyDescent="0.3">
      <c r="A8" s="349" t="s">
        <v>24</v>
      </c>
      <c r="B8" s="353">
        <v>109229.06</v>
      </c>
      <c r="C8" s="855">
        <v>128537</v>
      </c>
      <c r="D8" s="95">
        <v>8614.16</v>
      </c>
      <c r="E8" s="97">
        <v>7551</v>
      </c>
      <c r="F8" s="95">
        <v>17730.05</v>
      </c>
      <c r="G8" s="96">
        <v>16475</v>
      </c>
      <c r="H8" s="95">
        <v>121952.09</v>
      </c>
      <c r="I8" s="106">
        <v>145234</v>
      </c>
      <c r="J8" s="95">
        <v>27719.47</v>
      </c>
      <c r="K8" s="97">
        <v>30259</v>
      </c>
      <c r="L8" s="95">
        <v>48085.33</v>
      </c>
      <c r="M8" s="106">
        <v>50217</v>
      </c>
      <c r="N8" s="95">
        <v>17698</v>
      </c>
      <c r="O8" s="97">
        <v>18500</v>
      </c>
      <c r="P8" s="123">
        <v>14947.91</v>
      </c>
      <c r="Q8" s="106">
        <v>16452</v>
      </c>
      <c r="R8" s="95">
        <v>45839.8</v>
      </c>
      <c r="S8" s="97">
        <v>48017</v>
      </c>
      <c r="T8" s="95">
        <v>12573.1</v>
      </c>
      <c r="U8" s="97">
        <v>14252</v>
      </c>
      <c r="V8" s="123">
        <v>388931.95</v>
      </c>
      <c r="W8" s="106">
        <v>462030</v>
      </c>
      <c r="X8" s="95">
        <v>413746.16</v>
      </c>
      <c r="Y8" s="97">
        <v>389406</v>
      </c>
      <c r="Z8" s="95">
        <v>19920.86</v>
      </c>
      <c r="AA8" s="858">
        <v>20304</v>
      </c>
      <c r="AB8" s="91">
        <v>30755.48</v>
      </c>
      <c r="AC8" s="93">
        <v>40692.17</v>
      </c>
      <c r="AD8" s="95">
        <v>94822.43</v>
      </c>
      <c r="AE8" s="97">
        <v>103846</v>
      </c>
      <c r="AF8" s="95">
        <v>224449.41</v>
      </c>
      <c r="AG8" s="97">
        <v>261875</v>
      </c>
      <c r="AH8" s="123">
        <v>78821.66</v>
      </c>
      <c r="AI8" s="106">
        <v>93599</v>
      </c>
      <c r="AJ8" s="95">
        <v>66127.66</v>
      </c>
      <c r="AK8" s="97">
        <v>75397</v>
      </c>
      <c r="AL8" s="100"/>
      <c r="AM8" s="93"/>
      <c r="AN8" s="671">
        <v>503172.73</v>
      </c>
      <c r="AO8" s="672">
        <v>575773</v>
      </c>
      <c r="AP8" s="447">
        <v>18179.82</v>
      </c>
      <c r="AQ8" s="732">
        <v>18687.03</v>
      </c>
      <c r="AR8" s="355">
        <v>38846.71</v>
      </c>
      <c r="AS8" s="112">
        <v>56459</v>
      </c>
      <c r="AT8" s="95">
        <v>139013.20000000001</v>
      </c>
      <c r="AU8" s="96">
        <v>179395</v>
      </c>
      <c r="AV8" s="113">
        <f t="shared" si="0"/>
        <v>2441177.0399999996</v>
      </c>
      <c r="AW8" s="114">
        <f t="shared" si="0"/>
        <v>2752957.1999999997</v>
      </c>
      <c r="AX8" s="111">
        <v>4620252.92</v>
      </c>
      <c r="AY8" s="898">
        <v>5025776</v>
      </c>
      <c r="AZ8" s="113">
        <f t="shared" si="1"/>
        <v>7061429.959999999</v>
      </c>
      <c r="BA8" s="118">
        <f t="shared" si="1"/>
        <v>7778733.1999999993</v>
      </c>
    </row>
    <row r="9" spans="1:53" s="90" customFormat="1" ht="14.25" x14ac:dyDescent="0.3">
      <c r="A9" s="349" t="s">
        <v>25</v>
      </c>
      <c r="B9" s="353">
        <v>33885.11</v>
      </c>
      <c r="C9" s="855">
        <v>87934</v>
      </c>
      <c r="D9" s="95">
        <v>1.19</v>
      </c>
      <c r="E9" s="97">
        <v>28</v>
      </c>
      <c r="F9" s="95">
        <v>222.38</v>
      </c>
      <c r="G9" s="96">
        <v>532</v>
      </c>
      <c r="H9" s="95">
        <v>80710.25</v>
      </c>
      <c r="I9" s="106">
        <v>203352</v>
      </c>
      <c r="J9" s="95">
        <v>4511.1000000000004</v>
      </c>
      <c r="K9" s="97">
        <v>5500</v>
      </c>
      <c r="L9" s="95">
        <v>62155.27</v>
      </c>
      <c r="M9" s="106">
        <v>37616</v>
      </c>
      <c r="N9" s="95">
        <v>2948</v>
      </c>
      <c r="O9" s="97">
        <v>6805</v>
      </c>
      <c r="P9" s="123">
        <v>786.81</v>
      </c>
      <c r="Q9" s="106">
        <v>856</v>
      </c>
      <c r="R9" s="95">
        <v>3465.77</v>
      </c>
      <c r="S9" s="97">
        <v>2069</v>
      </c>
      <c r="T9" s="95">
        <v>802.17</v>
      </c>
      <c r="U9" s="97">
        <v>387</v>
      </c>
      <c r="V9" s="123">
        <v>248105.82</v>
      </c>
      <c r="W9" s="106">
        <v>321983</v>
      </c>
      <c r="X9" s="95">
        <v>185227.06</v>
      </c>
      <c r="Y9" s="97">
        <v>233215</v>
      </c>
      <c r="Z9" s="95">
        <v>6299.27</v>
      </c>
      <c r="AA9" s="858">
        <v>8017</v>
      </c>
      <c r="AB9" s="91">
        <v>37699.75</v>
      </c>
      <c r="AC9" s="93">
        <v>20636.189999999999</v>
      </c>
      <c r="AD9" s="95">
        <v>40209.01</v>
      </c>
      <c r="AE9" s="97">
        <v>72199</v>
      </c>
      <c r="AF9" s="95">
        <v>43545.9</v>
      </c>
      <c r="AG9" s="97">
        <v>56607</v>
      </c>
      <c r="AH9" s="123">
        <v>8833.92</v>
      </c>
      <c r="AI9" s="106">
        <v>17073</v>
      </c>
      <c r="AJ9" s="95">
        <v>1391.79</v>
      </c>
      <c r="AK9" s="97">
        <v>1003</v>
      </c>
      <c r="AL9" s="100"/>
      <c r="AM9" s="93"/>
      <c r="AN9" s="671">
        <v>194022.55</v>
      </c>
      <c r="AO9" s="672">
        <v>302102</v>
      </c>
      <c r="AP9" s="447">
        <v>3685.34</v>
      </c>
      <c r="AQ9" s="732">
        <v>7981.8</v>
      </c>
      <c r="AR9" s="355">
        <v>5401.18</v>
      </c>
      <c r="AS9" s="112">
        <v>8943</v>
      </c>
      <c r="AT9" s="95">
        <v>8026.78</v>
      </c>
      <c r="AU9" s="96">
        <v>21373</v>
      </c>
      <c r="AV9" s="113">
        <f t="shared" si="0"/>
        <v>971936.42000000016</v>
      </c>
      <c r="AW9" s="114">
        <f t="shared" si="0"/>
        <v>1416211.99</v>
      </c>
      <c r="AX9" s="111">
        <v>3054623.98</v>
      </c>
      <c r="AY9" s="898">
        <v>4079877</v>
      </c>
      <c r="AZ9" s="113">
        <f t="shared" si="1"/>
        <v>4026560.4000000004</v>
      </c>
      <c r="BA9" s="118">
        <f t="shared" si="1"/>
        <v>5496088.9900000002</v>
      </c>
    </row>
    <row r="10" spans="1:53" s="1246" customFormat="1" ht="14.25" x14ac:dyDescent="0.3">
      <c r="A10" s="1237" t="s">
        <v>26</v>
      </c>
      <c r="B10" s="1238">
        <f>SUM(B7:B9)</f>
        <v>176279.88</v>
      </c>
      <c r="C10" s="1239">
        <f t="shared" ref="C10:AH10" si="2">SUM(C7:C9)</f>
        <v>261966</v>
      </c>
      <c r="D10" s="1238">
        <f t="shared" si="2"/>
        <v>9483.0500000000011</v>
      </c>
      <c r="E10" s="1240">
        <f t="shared" si="2"/>
        <v>7620</v>
      </c>
      <c r="F10" s="1238">
        <f t="shared" si="2"/>
        <v>21672.16</v>
      </c>
      <c r="G10" s="1238">
        <f t="shared" si="2"/>
        <v>22080</v>
      </c>
      <c r="H10" s="1238">
        <f t="shared" si="2"/>
        <v>251547.8</v>
      </c>
      <c r="I10" s="1239">
        <f t="shared" si="2"/>
        <v>436874</v>
      </c>
      <c r="J10" s="1238">
        <f t="shared" si="2"/>
        <v>42902.659999999996</v>
      </c>
      <c r="K10" s="1240">
        <f t="shared" si="2"/>
        <v>49764</v>
      </c>
      <c r="L10" s="1238">
        <f t="shared" si="2"/>
        <v>123855.16</v>
      </c>
      <c r="M10" s="1239">
        <f t="shared" si="2"/>
        <v>111751</v>
      </c>
      <c r="N10" s="1238">
        <f t="shared" si="2"/>
        <v>23231</v>
      </c>
      <c r="O10" s="1240">
        <f t="shared" si="2"/>
        <v>28382</v>
      </c>
      <c r="P10" s="1241">
        <f t="shared" si="2"/>
        <v>21512.95</v>
      </c>
      <c r="Q10" s="1239">
        <f t="shared" si="2"/>
        <v>24179</v>
      </c>
      <c r="R10" s="1238">
        <f t="shared" si="2"/>
        <v>62190.28</v>
      </c>
      <c r="S10" s="1240">
        <f t="shared" si="2"/>
        <v>65355</v>
      </c>
      <c r="T10" s="1238">
        <f t="shared" si="2"/>
        <v>22478.04</v>
      </c>
      <c r="U10" s="1240">
        <f t="shared" si="2"/>
        <v>30663</v>
      </c>
      <c r="V10" s="1241">
        <f t="shared" si="2"/>
        <v>765594.22</v>
      </c>
      <c r="W10" s="1239">
        <f t="shared" si="2"/>
        <v>939610</v>
      </c>
      <c r="X10" s="1238">
        <f t="shared" si="2"/>
        <v>686999.58</v>
      </c>
      <c r="Y10" s="1240">
        <f t="shared" si="2"/>
        <v>726472</v>
      </c>
      <c r="Z10" s="1238">
        <f t="shared" si="2"/>
        <v>30082.15</v>
      </c>
      <c r="AA10" s="1239">
        <f t="shared" si="2"/>
        <v>34472</v>
      </c>
      <c r="AB10" s="1238">
        <f t="shared" si="2"/>
        <v>83409.959999999992</v>
      </c>
      <c r="AC10" s="1240">
        <f t="shared" si="2"/>
        <v>90796.82</v>
      </c>
      <c r="AD10" s="1238">
        <f t="shared" si="2"/>
        <v>166325.91999999998</v>
      </c>
      <c r="AE10" s="1240">
        <f t="shared" si="2"/>
        <v>225828</v>
      </c>
      <c r="AF10" s="1238">
        <f t="shared" si="2"/>
        <v>348406.41000000003</v>
      </c>
      <c r="AG10" s="1240">
        <f t="shared" si="2"/>
        <v>411307</v>
      </c>
      <c r="AH10" s="1241">
        <f t="shared" si="2"/>
        <v>110967.2</v>
      </c>
      <c r="AI10" s="1239">
        <f t="shared" ref="AI10:AU10" si="3">SUM(AI7:AI9)</f>
        <v>143385</v>
      </c>
      <c r="AJ10" s="1238">
        <f t="shared" si="3"/>
        <v>84490.34</v>
      </c>
      <c r="AK10" s="1240">
        <f t="shared" si="3"/>
        <v>100441</v>
      </c>
      <c r="AL10" s="1238">
        <f t="shared" si="3"/>
        <v>0</v>
      </c>
      <c r="AM10" s="1240">
        <f t="shared" si="3"/>
        <v>0</v>
      </c>
      <c r="AN10" s="1238">
        <f t="shared" si="3"/>
        <v>837664.82000000007</v>
      </c>
      <c r="AO10" s="1240">
        <f>SUM(AO7:AO9)</f>
        <v>1134910</v>
      </c>
      <c r="AP10" s="1238">
        <f t="shared" si="3"/>
        <v>32375.82</v>
      </c>
      <c r="AQ10" s="1240">
        <f t="shared" si="3"/>
        <v>39387.360000000001</v>
      </c>
      <c r="AR10" s="1241">
        <f t="shared" si="3"/>
        <v>68807.989999999991</v>
      </c>
      <c r="AS10" s="1238">
        <f t="shared" si="3"/>
        <v>119032</v>
      </c>
      <c r="AT10" s="1238">
        <f t="shared" si="3"/>
        <v>205196.2</v>
      </c>
      <c r="AU10" s="1238">
        <f t="shared" si="3"/>
        <v>308292</v>
      </c>
      <c r="AV10" s="1240">
        <f>SUM(AV7:AV9)</f>
        <v>4175473.59</v>
      </c>
      <c r="AW10" s="1242">
        <f>SUM(C10+E10+G10+I10+K10+M10+O10+Q10+S10+U10+W10+Y10+AA10+AC10+AE10+AG10+AI10+AK10+AM10+AO10+AQ10+AS10+AU10)</f>
        <v>5312567.1800000006</v>
      </c>
      <c r="AX10" s="1243">
        <f>SUM(AX7:AX9)</f>
        <v>8183699.9199999999</v>
      </c>
      <c r="AY10" s="1244">
        <v>9848585</v>
      </c>
      <c r="AZ10" s="1243">
        <f t="shared" si="1"/>
        <v>12359173.51</v>
      </c>
      <c r="BA10" s="1245">
        <f t="shared" si="1"/>
        <v>15161152.18</v>
      </c>
    </row>
    <row r="11" spans="1:53" s="90" customFormat="1" ht="14.25" x14ac:dyDescent="0.3">
      <c r="A11" s="349" t="s">
        <v>27</v>
      </c>
      <c r="B11" s="353"/>
      <c r="C11" s="855"/>
      <c r="D11" s="95"/>
      <c r="E11" s="97"/>
      <c r="F11" s="95"/>
      <c r="G11" s="96"/>
      <c r="H11" s="95"/>
      <c r="I11" s="106"/>
      <c r="J11" s="95"/>
      <c r="K11" s="97"/>
      <c r="L11" s="95"/>
      <c r="M11" s="106"/>
      <c r="N11" s="95"/>
      <c r="O11" s="97"/>
      <c r="P11" s="123"/>
      <c r="Q11" s="106"/>
      <c r="R11" s="95"/>
      <c r="S11" s="97"/>
      <c r="T11" s="95"/>
      <c r="U11" s="97"/>
      <c r="V11" s="123"/>
      <c r="W11" s="106"/>
      <c r="X11" s="95"/>
      <c r="Y11" s="97"/>
      <c r="Z11" s="95"/>
      <c r="AA11" s="106"/>
      <c r="AB11" s="91"/>
      <c r="AC11" s="93"/>
      <c r="AD11" s="95"/>
      <c r="AE11" s="97"/>
      <c r="AF11" s="95"/>
      <c r="AG11" s="97"/>
      <c r="AH11" s="123"/>
      <c r="AI11" s="106"/>
      <c r="AJ11" s="95"/>
      <c r="AK11" s="97"/>
      <c r="AL11" s="100"/>
      <c r="AM11" s="93"/>
      <c r="AN11" s="577"/>
      <c r="AO11" s="89"/>
      <c r="AP11" s="447"/>
      <c r="AQ11" s="732"/>
      <c r="AR11" s="355"/>
      <c r="AS11" s="112"/>
      <c r="AT11" s="95"/>
      <c r="AU11" s="96"/>
      <c r="AV11" s="113"/>
      <c r="AW11" s="114"/>
      <c r="AX11" s="111"/>
      <c r="AY11" s="898"/>
      <c r="AZ11" s="113"/>
      <c r="BA11" s="118"/>
    </row>
    <row r="12" spans="1:53" s="90" customFormat="1" ht="14.25" x14ac:dyDescent="0.3">
      <c r="A12" s="349" t="s">
        <v>28</v>
      </c>
      <c r="B12" s="353">
        <f>B9</f>
        <v>33885.11</v>
      </c>
      <c r="C12" s="855">
        <f>C10</f>
        <v>261966</v>
      </c>
      <c r="D12" s="113">
        <f>D10</f>
        <v>9483.0500000000011</v>
      </c>
      <c r="E12" s="126">
        <f>E10</f>
        <v>7620</v>
      </c>
      <c r="F12" s="113">
        <f>F10</f>
        <v>21672.16</v>
      </c>
      <c r="G12" s="124">
        <f>G10</f>
        <v>22080</v>
      </c>
      <c r="H12" s="113">
        <f t="shared" ref="H12:M12" si="4">H10</f>
        <v>251547.8</v>
      </c>
      <c r="I12" s="125">
        <f t="shared" si="4"/>
        <v>436874</v>
      </c>
      <c r="J12" s="113">
        <f t="shared" si="4"/>
        <v>42902.659999999996</v>
      </c>
      <c r="K12" s="126">
        <f t="shared" si="4"/>
        <v>49764</v>
      </c>
      <c r="L12" s="113">
        <f t="shared" si="4"/>
        <v>123855.16</v>
      </c>
      <c r="M12" s="125">
        <f t="shared" si="4"/>
        <v>111751</v>
      </c>
      <c r="N12" s="113">
        <f t="shared" ref="N12:Y12" si="5">N10</f>
        <v>23231</v>
      </c>
      <c r="O12" s="126">
        <f t="shared" si="5"/>
        <v>28382</v>
      </c>
      <c r="P12" s="124">
        <f t="shared" si="5"/>
        <v>21512.95</v>
      </c>
      <c r="Q12" s="125">
        <f t="shared" si="5"/>
        <v>24179</v>
      </c>
      <c r="R12" s="113">
        <f t="shared" si="5"/>
        <v>62190.28</v>
      </c>
      <c r="S12" s="126">
        <f t="shared" si="5"/>
        <v>65355</v>
      </c>
      <c r="T12" s="113">
        <f t="shared" si="5"/>
        <v>22478.04</v>
      </c>
      <c r="U12" s="126">
        <f t="shared" si="5"/>
        <v>30663</v>
      </c>
      <c r="V12" s="124">
        <f t="shared" si="5"/>
        <v>765594.22</v>
      </c>
      <c r="W12" s="125">
        <f t="shared" si="5"/>
        <v>939610</v>
      </c>
      <c r="X12" s="113">
        <f t="shared" si="5"/>
        <v>686999.58</v>
      </c>
      <c r="Y12" s="126">
        <f t="shared" si="5"/>
        <v>726472</v>
      </c>
      <c r="Z12" s="95">
        <f t="shared" ref="Z12:AE12" si="6">Z10</f>
        <v>30082.15</v>
      </c>
      <c r="AA12" s="859">
        <f t="shared" si="6"/>
        <v>34472</v>
      </c>
      <c r="AB12" s="91">
        <f t="shared" si="6"/>
        <v>83409.959999999992</v>
      </c>
      <c r="AC12" s="423">
        <f t="shared" si="6"/>
        <v>90796.82</v>
      </c>
      <c r="AD12" s="95">
        <f t="shared" si="6"/>
        <v>166325.91999999998</v>
      </c>
      <c r="AE12" s="731">
        <f t="shared" si="6"/>
        <v>225828</v>
      </c>
      <c r="AF12" s="95">
        <f t="shared" ref="AF12:AS12" si="7">AF10</f>
        <v>348406.41000000003</v>
      </c>
      <c r="AG12" s="731">
        <f t="shared" si="7"/>
        <v>411307</v>
      </c>
      <c r="AH12" s="123">
        <f t="shared" si="7"/>
        <v>110967.2</v>
      </c>
      <c r="AI12" s="860">
        <f t="shared" si="7"/>
        <v>143385</v>
      </c>
      <c r="AJ12" s="95">
        <f t="shared" si="7"/>
        <v>84490.34</v>
      </c>
      <c r="AK12" s="731">
        <f t="shared" si="7"/>
        <v>100441</v>
      </c>
      <c r="AL12" s="95">
        <f t="shared" si="7"/>
        <v>0</v>
      </c>
      <c r="AM12" s="731">
        <f t="shared" si="7"/>
        <v>0</v>
      </c>
      <c r="AN12" s="95">
        <f t="shared" si="7"/>
        <v>837664.82000000007</v>
      </c>
      <c r="AO12" s="731">
        <f t="shared" si="7"/>
        <v>1134910</v>
      </c>
      <c r="AP12" s="95">
        <f t="shared" si="7"/>
        <v>32375.82</v>
      </c>
      <c r="AQ12" s="731">
        <f t="shared" si="7"/>
        <v>39387.360000000001</v>
      </c>
      <c r="AR12" s="123">
        <f t="shared" si="7"/>
        <v>68807.989999999991</v>
      </c>
      <c r="AS12" s="123">
        <f t="shared" si="7"/>
        <v>119032</v>
      </c>
      <c r="AT12" s="111">
        <f>AT10</f>
        <v>205196.2</v>
      </c>
      <c r="AU12" s="112">
        <f>AU10</f>
        <v>308292</v>
      </c>
      <c r="AV12" s="749">
        <f>AV10</f>
        <v>4175473.59</v>
      </c>
      <c r="AW12" s="114">
        <f>SUM(C12+E12+G12+I12+K12+M12+O12+Q12+S12+U12+W12+Y12+AA12+AC12+AE12+AG12+AI12+AK12+AM12+AO12+AQ12+AS12+AU12)</f>
        <v>5312567.1800000006</v>
      </c>
      <c r="AX12" s="111">
        <v>8174166</v>
      </c>
      <c r="AY12" s="1236">
        <v>9839587</v>
      </c>
      <c r="AZ12" s="113">
        <f>AV12+AX12</f>
        <v>12349639.59</v>
      </c>
      <c r="BA12" s="118">
        <f>AW12+AY12</f>
        <v>15152154.18</v>
      </c>
    </row>
    <row r="13" spans="1:53" s="90" customFormat="1" ht="14.25" x14ac:dyDescent="0.3">
      <c r="A13" s="87" t="s">
        <v>29</v>
      </c>
      <c r="B13" s="353"/>
      <c r="C13" s="855"/>
      <c r="D13" s="95"/>
      <c r="E13" s="97"/>
      <c r="F13" s="95"/>
      <c r="G13" s="96"/>
      <c r="H13" s="95"/>
      <c r="I13" s="106"/>
      <c r="J13" s="95"/>
      <c r="K13" s="97"/>
      <c r="L13" s="95"/>
      <c r="M13" s="106"/>
      <c r="N13" s="95"/>
      <c r="O13" s="97"/>
      <c r="P13" s="123"/>
      <c r="Q13" s="106"/>
      <c r="R13" s="95"/>
      <c r="S13" s="97"/>
      <c r="T13" s="95"/>
      <c r="U13" s="97"/>
      <c r="V13" s="123"/>
      <c r="W13" s="106"/>
      <c r="X13" s="95"/>
      <c r="Y13" s="97"/>
      <c r="Z13" s="95"/>
      <c r="AA13" s="106"/>
      <c r="AB13" s="91"/>
      <c r="AC13" s="93"/>
      <c r="AD13" s="95"/>
      <c r="AE13" s="97"/>
      <c r="AF13" s="95"/>
      <c r="AG13" s="97"/>
      <c r="AH13" s="123"/>
      <c r="AI13" s="106"/>
      <c r="AJ13" s="95"/>
      <c r="AK13" s="97"/>
      <c r="AL13" s="100"/>
      <c r="AM13" s="93"/>
      <c r="AN13" s="670"/>
      <c r="AO13" s="861"/>
      <c r="AP13" s="447"/>
      <c r="AQ13" s="732"/>
      <c r="AR13" s="355"/>
      <c r="AS13" s="112"/>
      <c r="AT13" s="95"/>
      <c r="AU13" s="96"/>
      <c r="AV13" s="113"/>
      <c r="AW13" s="114"/>
      <c r="AX13" s="111">
        <v>9533</v>
      </c>
      <c r="AY13" s="898">
        <v>8997</v>
      </c>
      <c r="AZ13" s="113"/>
      <c r="BA13" s="118"/>
    </row>
    <row r="14" spans="1:53" s="1268" customFormat="1" thickBot="1" x14ac:dyDescent="0.35">
      <c r="A14" s="1247" t="s">
        <v>26</v>
      </c>
      <c r="B14" s="1248">
        <f>B10</f>
        <v>176279.88</v>
      </c>
      <c r="C14" s="1249">
        <f>C10</f>
        <v>261966</v>
      </c>
      <c r="D14" s="1248">
        <f t="shared" ref="D14:W14" si="8">D10</f>
        <v>9483.0500000000011</v>
      </c>
      <c r="E14" s="1250">
        <f t="shared" si="8"/>
        <v>7620</v>
      </c>
      <c r="F14" s="1248">
        <f t="shared" si="8"/>
        <v>21672.16</v>
      </c>
      <c r="G14" s="1251">
        <f t="shared" si="8"/>
        <v>22080</v>
      </c>
      <c r="H14" s="1248">
        <f t="shared" si="8"/>
        <v>251547.8</v>
      </c>
      <c r="I14" s="1252">
        <f t="shared" si="8"/>
        <v>436874</v>
      </c>
      <c r="J14" s="1248">
        <f t="shared" si="8"/>
        <v>42902.659999999996</v>
      </c>
      <c r="K14" s="1250">
        <f t="shared" si="8"/>
        <v>49764</v>
      </c>
      <c r="L14" s="1248">
        <f t="shared" si="8"/>
        <v>123855.16</v>
      </c>
      <c r="M14" s="1252">
        <f t="shared" si="8"/>
        <v>111751</v>
      </c>
      <c r="N14" s="1248">
        <f t="shared" si="8"/>
        <v>23231</v>
      </c>
      <c r="O14" s="1250">
        <f t="shared" si="8"/>
        <v>28382</v>
      </c>
      <c r="P14" s="1251">
        <f t="shared" si="8"/>
        <v>21512.95</v>
      </c>
      <c r="Q14" s="1252">
        <f t="shared" si="8"/>
        <v>24179</v>
      </c>
      <c r="R14" s="1248">
        <f t="shared" si="8"/>
        <v>62190.28</v>
      </c>
      <c r="S14" s="1250">
        <f t="shared" si="8"/>
        <v>65355</v>
      </c>
      <c r="T14" s="1248">
        <f t="shared" si="8"/>
        <v>22478.04</v>
      </c>
      <c r="U14" s="1250">
        <f t="shared" si="8"/>
        <v>30663</v>
      </c>
      <c r="V14" s="1251">
        <f t="shared" si="8"/>
        <v>765594.22</v>
      </c>
      <c r="W14" s="1252">
        <f t="shared" si="8"/>
        <v>939610</v>
      </c>
      <c r="X14" s="1253">
        <f t="shared" ref="X14:AD14" si="9">X10</f>
        <v>686999.58</v>
      </c>
      <c r="Y14" s="1254">
        <f t="shared" si="9"/>
        <v>726472</v>
      </c>
      <c r="Z14" s="1253">
        <f t="shared" si="9"/>
        <v>30082.15</v>
      </c>
      <c r="AA14" s="1255">
        <f t="shared" si="9"/>
        <v>34472</v>
      </c>
      <c r="AB14" s="1256">
        <f t="shared" si="9"/>
        <v>83409.959999999992</v>
      </c>
      <c r="AC14" s="1257">
        <f t="shared" si="9"/>
        <v>90796.82</v>
      </c>
      <c r="AD14" s="1253">
        <f t="shared" si="9"/>
        <v>166325.91999999998</v>
      </c>
      <c r="AE14" s="1258">
        <f t="shared" ref="AE14:AO14" si="10">AE10</f>
        <v>225828</v>
      </c>
      <c r="AF14" s="1253">
        <f t="shared" si="10"/>
        <v>348406.41000000003</v>
      </c>
      <c r="AG14" s="1254">
        <f t="shared" si="10"/>
        <v>411307</v>
      </c>
      <c r="AH14" s="1259">
        <f t="shared" si="10"/>
        <v>110967.2</v>
      </c>
      <c r="AI14" s="1255">
        <f t="shared" si="10"/>
        <v>143385</v>
      </c>
      <c r="AJ14" s="1253">
        <f t="shared" si="10"/>
        <v>84490.34</v>
      </c>
      <c r="AK14" s="1258">
        <f t="shared" si="10"/>
        <v>100441</v>
      </c>
      <c r="AL14" s="1253">
        <f t="shared" si="10"/>
        <v>0</v>
      </c>
      <c r="AM14" s="1254">
        <f t="shared" si="10"/>
        <v>0</v>
      </c>
      <c r="AN14" s="1260">
        <f t="shared" si="10"/>
        <v>837664.82000000007</v>
      </c>
      <c r="AO14" s="1261">
        <f t="shared" si="10"/>
        <v>1134910</v>
      </c>
      <c r="AP14" s="1262">
        <f>AP12</f>
        <v>32375.82</v>
      </c>
      <c r="AQ14" s="1263">
        <f>AQ12</f>
        <v>39387.360000000001</v>
      </c>
      <c r="AR14" s="1264">
        <f>AR10</f>
        <v>68807.989999999991</v>
      </c>
      <c r="AS14" s="1265">
        <f>AS10</f>
        <v>119032</v>
      </c>
      <c r="AT14" s="1266">
        <f>AT10</f>
        <v>205196.2</v>
      </c>
      <c r="AU14" s="1265">
        <f>AU10</f>
        <v>308292</v>
      </c>
      <c r="AV14" s="1253">
        <f>AV10</f>
        <v>4175473.59</v>
      </c>
      <c r="AW14" s="1258">
        <f>SUM(C14+E14+G14+I14+K14+M14+O14+Q14+S14+U14+W14+Y14+AA14+AC14+AE14+AG14+AI14+AK14+AM14+AO14+AQ14+AS14+AU14)</f>
        <v>5312567.1800000006</v>
      </c>
      <c r="AX14" s="1266">
        <f>AX10</f>
        <v>8183699.9199999999</v>
      </c>
      <c r="AY14" s="1267">
        <f>AY10</f>
        <v>9848585</v>
      </c>
      <c r="AZ14" s="1253">
        <f>AV14+AX14</f>
        <v>12359173.51</v>
      </c>
      <c r="BA14" s="1254">
        <f>AW14+AY14</f>
        <v>15161152.18</v>
      </c>
    </row>
  </sheetData>
  <mergeCells count="29">
    <mergeCell ref="A1:BA1"/>
    <mergeCell ref="A2:BA2"/>
    <mergeCell ref="A3:A4"/>
    <mergeCell ref="B3:C3"/>
    <mergeCell ref="AB3:AC3"/>
    <mergeCell ref="D3:E3"/>
    <mergeCell ref="F3:G3"/>
    <mergeCell ref="H3:I3"/>
    <mergeCell ref="J3:K3"/>
    <mergeCell ref="L3:M3"/>
    <mergeCell ref="AL3:AM3"/>
    <mergeCell ref="N3:O3"/>
    <mergeCell ref="P3:Q3"/>
    <mergeCell ref="R3:S3"/>
    <mergeCell ref="T3:U3"/>
    <mergeCell ref="V3:W3"/>
    <mergeCell ref="X3:Y3"/>
    <mergeCell ref="Z3:AA3"/>
    <mergeCell ref="AD3:AE3"/>
    <mergeCell ref="AF3:AG3"/>
    <mergeCell ref="AH3:AI3"/>
    <mergeCell ref="AJ3:AK3"/>
    <mergeCell ref="AZ3:BA3"/>
    <mergeCell ref="AN3:AO3"/>
    <mergeCell ref="AP3:AQ3"/>
    <mergeCell ref="AV3:AW3"/>
    <mergeCell ref="AT3:AU3"/>
    <mergeCell ref="AR3:AS3"/>
    <mergeCell ref="AX3:AY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BA29"/>
  <sheetViews>
    <sheetView workbookViewId="0">
      <pane xSplit="1" topLeftCell="B1" activePane="topRight" state="frozen"/>
      <selection pane="topRight" activeCell="BD17" sqref="BD17"/>
    </sheetView>
  </sheetViews>
  <sheetFormatPr defaultRowHeight="12.75" x14ac:dyDescent="0.25"/>
  <cols>
    <col min="1" max="1" width="37.42578125" style="176" bestFit="1" customWidth="1"/>
    <col min="2" max="15" width="11.7109375" style="176" bestFit="1" customWidth="1"/>
    <col min="16" max="17" width="9.42578125" style="176" customWidth="1"/>
    <col min="18" max="18" width="9.85546875" style="176" customWidth="1"/>
    <col min="19" max="19" width="10.140625" style="176" customWidth="1"/>
    <col min="20" max="20" width="9.42578125" style="176" customWidth="1"/>
    <col min="21" max="21" width="10.28515625" style="176" customWidth="1"/>
    <col min="22" max="43" width="11.7109375" style="176" bestFit="1" customWidth="1"/>
    <col min="44" max="44" width="10.5703125" style="176" customWidth="1"/>
    <col min="45" max="45" width="10.85546875" style="176" customWidth="1"/>
    <col min="46" max="53" width="11.7109375" style="176" bestFit="1" customWidth="1"/>
    <col min="54" max="16384" width="9.140625" style="176"/>
  </cols>
  <sheetData>
    <row r="1" spans="1:53" s="200" customFormat="1" ht="14.25" x14ac:dyDescent="0.3">
      <c r="A1" s="1310" t="s">
        <v>154</v>
      </c>
      <c r="B1" s="1310"/>
      <c r="C1" s="1310"/>
      <c r="D1" s="1310"/>
      <c r="E1" s="1310"/>
      <c r="F1" s="1310"/>
      <c r="G1" s="1310"/>
      <c r="H1" s="1310"/>
      <c r="I1" s="1310"/>
      <c r="J1" s="1310"/>
      <c r="K1" s="1310"/>
      <c r="L1" s="1310"/>
      <c r="M1" s="1310"/>
      <c r="N1" s="1310"/>
      <c r="O1" s="1310"/>
      <c r="P1" s="1310"/>
      <c r="Q1" s="1310"/>
      <c r="R1" s="1310"/>
      <c r="S1" s="1310"/>
      <c r="T1" s="1310"/>
      <c r="U1" s="1310"/>
      <c r="V1" s="1310"/>
      <c r="W1" s="1310"/>
      <c r="X1" s="1310"/>
      <c r="Y1" s="1310"/>
      <c r="Z1" s="1310"/>
      <c r="AA1" s="1310"/>
      <c r="AB1" s="1310"/>
      <c r="AC1" s="1310"/>
      <c r="AD1" s="1310"/>
      <c r="AE1" s="1310"/>
      <c r="AF1" s="1310"/>
      <c r="AG1" s="1310"/>
      <c r="AH1" s="1310"/>
      <c r="AI1" s="1310"/>
      <c r="AJ1" s="1310"/>
      <c r="AK1" s="1310"/>
      <c r="AL1" s="1310"/>
      <c r="AM1" s="1310"/>
      <c r="AN1" s="1310"/>
      <c r="AO1" s="1310"/>
      <c r="AP1" s="1310"/>
      <c r="AQ1" s="1310"/>
      <c r="AR1" s="1310"/>
      <c r="AS1" s="1310"/>
      <c r="AT1" s="1310"/>
      <c r="AU1" s="1310"/>
      <c r="AV1" s="1310"/>
      <c r="AW1" s="1310"/>
      <c r="AX1" s="1310"/>
      <c r="AY1" s="1310"/>
      <c r="AZ1" s="1310"/>
      <c r="BA1" s="1310"/>
    </row>
    <row r="2" spans="1:53" s="445" customFormat="1" ht="16.5" thickBot="1" x14ac:dyDescent="0.4">
      <c r="A2" s="1337" t="s">
        <v>389</v>
      </c>
      <c r="B2" s="1337"/>
      <c r="C2" s="1337"/>
      <c r="D2" s="1337"/>
      <c r="E2" s="1337"/>
      <c r="F2" s="1337"/>
      <c r="G2" s="1337"/>
      <c r="H2" s="1337"/>
      <c r="I2" s="1337"/>
      <c r="J2" s="1337"/>
      <c r="K2" s="1337"/>
      <c r="L2" s="1337"/>
      <c r="M2" s="1337"/>
      <c r="N2" s="1337"/>
      <c r="O2" s="1337"/>
      <c r="P2" s="1337"/>
      <c r="Q2" s="1337"/>
      <c r="R2" s="1337"/>
      <c r="S2" s="1337"/>
      <c r="T2" s="1337"/>
      <c r="U2" s="1337"/>
      <c r="V2" s="1337"/>
      <c r="W2" s="1337"/>
      <c r="X2" s="1337"/>
      <c r="Y2" s="1337"/>
      <c r="Z2" s="1337"/>
      <c r="AA2" s="1337"/>
      <c r="AB2" s="1337"/>
      <c r="AC2" s="1337"/>
      <c r="AD2" s="1337"/>
      <c r="AE2" s="1337"/>
      <c r="AF2" s="1337"/>
      <c r="AG2" s="1337"/>
      <c r="AH2" s="1337"/>
      <c r="AI2" s="1337"/>
      <c r="AJ2" s="1337"/>
      <c r="AK2" s="1337"/>
      <c r="AL2" s="1337"/>
      <c r="AM2" s="1337"/>
      <c r="AN2" s="1337"/>
      <c r="AO2" s="1337"/>
      <c r="AP2" s="1337"/>
      <c r="AQ2" s="1337"/>
      <c r="AR2" s="1337"/>
      <c r="AS2" s="1337"/>
      <c r="AT2" s="1337"/>
      <c r="AU2" s="1337"/>
      <c r="AV2" s="1337"/>
      <c r="AW2" s="1337"/>
      <c r="AX2" s="1337"/>
      <c r="AY2" s="1337"/>
      <c r="AZ2" s="1337"/>
      <c r="BA2" s="1337"/>
    </row>
    <row r="3" spans="1:53" s="865" customFormat="1" ht="44.25" customHeight="1" thickBot="1" x14ac:dyDescent="0.3">
      <c r="A3" s="1338" t="s">
        <v>0</v>
      </c>
      <c r="B3" s="1333" t="s">
        <v>159</v>
      </c>
      <c r="C3" s="1334"/>
      <c r="D3" s="1333" t="s">
        <v>160</v>
      </c>
      <c r="E3" s="1334"/>
      <c r="F3" s="1333" t="s">
        <v>161</v>
      </c>
      <c r="G3" s="1334"/>
      <c r="H3" s="1333" t="s">
        <v>162</v>
      </c>
      <c r="I3" s="1334"/>
      <c r="J3" s="1333" t="s">
        <v>163</v>
      </c>
      <c r="K3" s="1334"/>
      <c r="L3" s="1333" t="s">
        <v>164</v>
      </c>
      <c r="M3" s="1334"/>
      <c r="N3" s="1333" t="s">
        <v>315</v>
      </c>
      <c r="O3" s="1336"/>
      <c r="P3" s="1333" t="s">
        <v>165</v>
      </c>
      <c r="Q3" s="1334"/>
      <c r="R3" s="1333" t="s">
        <v>166</v>
      </c>
      <c r="S3" s="1334"/>
      <c r="T3" s="1336" t="s">
        <v>167</v>
      </c>
      <c r="U3" s="1336"/>
      <c r="V3" s="1333" t="s">
        <v>168</v>
      </c>
      <c r="W3" s="1334"/>
      <c r="X3" s="1336" t="s">
        <v>169</v>
      </c>
      <c r="Y3" s="1334"/>
      <c r="Z3" s="1333" t="s">
        <v>325</v>
      </c>
      <c r="AA3" s="1334"/>
      <c r="AB3" s="1333" t="s">
        <v>170</v>
      </c>
      <c r="AC3" s="1334"/>
      <c r="AD3" s="1335" t="s">
        <v>171</v>
      </c>
      <c r="AE3" s="1296"/>
      <c r="AF3" s="1333" t="s">
        <v>172</v>
      </c>
      <c r="AG3" s="1334"/>
      <c r="AH3" s="1333" t="s">
        <v>173</v>
      </c>
      <c r="AI3" s="1334"/>
      <c r="AJ3" s="1333" t="s">
        <v>174</v>
      </c>
      <c r="AK3" s="1334"/>
      <c r="AL3" s="1295" t="s">
        <v>175</v>
      </c>
      <c r="AM3" s="1296"/>
      <c r="AN3" s="1333" t="s">
        <v>176</v>
      </c>
      <c r="AO3" s="1334"/>
      <c r="AP3" s="1333" t="s">
        <v>177</v>
      </c>
      <c r="AQ3" s="1334"/>
      <c r="AR3" s="1333" t="s">
        <v>178</v>
      </c>
      <c r="AS3" s="1334"/>
      <c r="AT3" s="1333" t="s">
        <v>179</v>
      </c>
      <c r="AU3" s="1334"/>
      <c r="AV3" s="1333" t="s">
        <v>1</v>
      </c>
      <c r="AW3" s="1334"/>
      <c r="AX3" s="1295" t="s">
        <v>180</v>
      </c>
      <c r="AY3" s="1296"/>
      <c r="AZ3" s="1295" t="s">
        <v>2</v>
      </c>
      <c r="BA3" s="1296"/>
    </row>
    <row r="4" spans="1:53" s="445" customFormat="1" ht="14.25" thickBot="1" x14ac:dyDescent="0.3">
      <c r="A4" s="1339"/>
      <c r="B4" s="440" t="s">
        <v>321</v>
      </c>
      <c r="C4" s="441" t="s">
        <v>312</v>
      </c>
      <c r="D4" s="440" t="s">
        <v>321</v>
      </c>
      <c r="E4" s="441" t="s">
        <v>312</v>
      </c>
      <c r="F4" s="440" t="s">
        <v>321</v>
      </c>
      <c r="G4" s="441" t="s">
        <v>312</v>
      </c>
      <c r="H4" s="440" t="s">
        <v>321</v>
      </c>
      <c r="I4" s="441" t="s">
        <v>312</v>
      </c>
      <c r="J4" s="440" t="s">
        <v>321</v>
      </c>
      <c r="K4" s="441" t="s">
        <v>312</v>
      </c>
      <c r="L4" s="440" t="s">
        <v>321</v>
      </c>
      <c r="M4" s="441" t="s">
        <v>312</v>
      </c>
      <c r="N4" s="440" t="s">
        <v>321</v>
      </c>
      <c r="O4" s="441" t="s">
        <v>312</v>
      </c>
      <c r="P4" s="440" t="s">
        <v>321</v>
      </c>
      <c r="Q4" s="441" t="s">
        <v>312</v>
      </c>
      <c r="R4" s="440" t="s">
        <v>321</v>
      </c>
      <c r="S4" s="441" t="s">
        <v>312</v>
      </c>
      <c r="T4" s="440" t="s">
        <v>321</v>
      </c>
      <c r="U4" s="441" t="s">
        <v>312</v>
      </c>
      <c r="V4" s="440" t="s">
        <v>321</v>
      </c>
      <c r="W4" s="442" t="s">
        <v>312</v>
      </c>
      <c r="X4" s="441" t="s">
        <v>321</v>
      </c>
      <c r="Y4" s="442" t="s">
        <v>312</v>
      </c>
      <c r="Z4" s="440" t="s">
        <v>321</v>
      </c>
      <c r="AA4" s="442" t="s">
        <v>312</v>
      </c>
      <c r="AB4" s="440" t="s">
        <v>321</v>
      </c>
      <c r="AC4" s="442" t="s">
        <v>312</v>
      </c>
      <c r="AD4" s="441" t="s">
        <v>321</v>
      </c>
      <c r="AE4" s="442" t="s">
        <v>312</v>
      </c>
      <c r="AF4" s="440" t="s">
        <v>321</v>
      </c>
      <c r="AG4" s="442" t="s">
        <v>312</v>
      </c>
      <c r="AH4" s="440" t="s">
        <v>321</v>
      </c>
      <c r="AI4" s="442" t="s">
        <v>312</v>
      </c>
      <c r="AJ4" s="440" t="s">
        <v>321</v>
      </c>
      <c r="AK4" s="441" t="s">
        <v>312</v>
      </c>
      <c r="AL4" s="440" t="s">
        <v>321</v>
      </c>
      <c r="AM4" s="441" t="s">
        <v>312</v>
      </c>
      <c r="AN4" s="440" t="s">
        <v>321</v>
      </c>
      <c r="AO4" s="441" t="s">
        <v>312</v>
      </c>
      <c r="AP4" s="440" t="s">
        <v>321</v>
      </c>
      <c r="AQ4" s="441" t="s">
        <v>312</v>
      </c>
      <c r="AR4" s="440" t="s">
        <v>321</v>
      </c>
      <c r="AS4" s="441" t="s">
        <v>312</v>
      </c>
      <c r="AT4" s="440" t="s">
        <v>321</v>
      </c>
      <c r="AU4" s="441" t="s">
        <v>312</v>
      </c>
      <c r="AV4" s="440" t="s">
        <v>321</v>
      </c>
      <c r="AW4" s="441" t="s">
        <v>312</v>
      </c>
      <c r="AX4" s="440" t="s">
        <v>321</v>
      </c>
      <c r="AY4" s="441" t="s">
        <v>383</v>
      </c>
      <c r="AZ4" s="440" t="s">
        <v>321</v>
      </c>
      <c r="BA4" s="903" t="s">
        <v>383</v>
      </c>
    </row>
    <row r="5" spans="1:53" s="160" customFormat="1" ht="14.25" x14ac:dyDescent="0.25">
      <c r="A5" s="351" t="s">
        <v>59</v>
      </c>
      <c r="B5" s="174"/>
      <c r="C5" s="172"/>
      <c r="D5" s="174"/>
      <c r="E5" s="172"/>
      <c r="F5" s="174"/>
      <c r="G5" s="172"/>
      <c r="H5" s="174"/>
      <c r="I5" s="172"/>
      <c r="J5" s="174"/>
      <c r="K5" s="172"/>
      <c r="L5" s="174"/>
      <c r="M5" s="172"/>
      <c r="N5" s="174"/>
      <c r="O5" s="175"/>
      <c r="P5" s="174"/>
      <c r="Q5" s="170"/>
      <c r="R5" s="174"/>
      <c r="S5" s="170"/>
      <c r="T5" s="171"/>
      <c r="U5" s="175"/>
      <c r="V5" s="174"/>
      <c r="W5" s="170"/>
      <c r="X5" s="171"/>
      <c r="Y5" s="170"/>
      <c r="Z5" s="174"/>
      <c r="AA5" s="170"/>
      <c r="AB5" s="174"/>
      <c r="AC5" s="170"/>
      <c r="AD5" s="171"/>
      <c r="AE5" s="170"/>
      <c r="AF5" s="174"/>
      <c r="AG5" s="170"/>
      <c r="AH5" s="174"/>
      <c r="AI5" s="170"/>
      <c r="AJ5" s="174"/>
      <c r="AK5" s="172"/>
      <c r="AL5" s="174"/>
      <c r="AM5" s="172"/>
      <c r="AN5" s="174"/>
      <c r="AO5" s="172"/>
      <c r="AP5" s="174"/>
      <c r="AQ5" s="172"/>
      <c r="AR5" s="174"/>
      <c r="AS5" s="172"/>
      <c r="AT5" s="174"/>
      <c r="AU5" s="172"/>
      <c r="AV5" s="174"/>
      <c r="AW5" s="172"/>
      <c r="AX5" s="174"/>
      <c r="AY5" s="172"/>
      <c r="AZ5" s="174"/>
      <c r="BA5" s="170"/>
    </row>
    <row r="6" spans="1:53" s="160" customFormat="1" ht="14.25" x14ac:dyDescent="0.3">
      <c r="A6" s="177" t="s">
        <v>60</v>
      </c>
      <c r="B6" s="353">
        <v>5447.72</v>
      </c>
      <c r="C6" s="105">
        <v>6811</v>
      </c>
      <c r="D6" s="95">
        <v>76.17</v>
      </c>
      <c r="E6" s="96">
        <v>3.22</v>
      </c>
      <c r="F6" s="95">
        <v>282.85000000000002</v>
      </c>
      <c r="G6" s="96">
        <v>318</v>
      </c>
      <c r="H6" s="95">
        <v>7224.07</v>
      </c>
      <c r="I6" s="96">
        <v>14319</v>
      </c>
      <c r="J6" s="95">
        <v>1437.98</v>
      </c>
      <c r="K6" s="96">
        <v>2431</v>
      </c>
      <c r="L6" s="95">
        <v>2235</v>
      </c>
      <c r="M6" s="96">
        <v>4400</v>
      </c>
      <c r="N6" s="95">
        <v>242</v>
      </c>
      <c r="O6" s="106">
        <v>409</v>
      </c>
      <c r="P6" s="95">
        <v>1070</v>
      </c>
      <c r="Q6" s="97">
        <v>1384</v>
      </c>
      <c r="R6" s="95">
        <v>2455.63</v>
      </c>
      <c r="S6" s="97">
        <v>2289</v>
      </c>
      <c r="T6" s="123">
        <v>262.24</v>
      </c>
      <c r="U6" s="106">
        <v>683</v>
      </c>
      <c r="V6" s="95">
        <v>21707.200000000001</v>
      </c>
      <c r="W6" s="97">
        <v>24043</v>
      </c>
      <c r="X6" s="123">
        <v>15823.82</v>
      </c>
      <c r="Y6" s="1208">
        <v>18006</v>
      </c>
      <c r="Z6" s="992">
        <v>547.13</v>
      </c>
      <c r="AA6" s="993">
        <v>933</v>
      </c>
      <c r="AB6" s="95">
        <v>2006.86</v>
      </c>
      <c r="AC6" s="97">
        <v>3870.25</v>
      </c>
      <c r="AD6" s="123">
        <v>2618.39</v>
      </c>
      <c r="AE6" s="97">
        <v>4892</v>
      </c>
      <c r="AF6" s="95">
        <v>14311.61</v>
      </c>
      <c r="AG6" s="97">
        <v>17015</v>
      </c>
      <c r="AH6" s="95">
        <v>3493.76</v>
      </c>
      <c r="AI6" s="97">
        <v>4668</v>
      </c>
      <c r="AJ6" s="95">
        <v>1335.79</v>
      </c>
      <c r="AK6" s="96">
        <v>1892</v>
      </c>
      <c r="AL6" s="446"/>
      <c r="AM6" s="96"/>
      <c r="AN6" s="207">
        <v>11900.33</v>
      </c>
      <c r="AO6" s="204">
        <v>34373</v>
      </c>
      <c r="AP6" s="447">
        <v>1270.32</v>
      </c>
      <c r="AQ6" s="110">
        <v>1513.5</v>
      </c>
      <c r="AR6" s="111">
        <v>1319.36</v>
      </c>
      <c r="AS6" s="112">
        <v>2902</v>
      </c>
      <c r="AT6" s="95">
        <v>12747.42</v>
      </c>
      <c r="AU6" s="96">
        <v>22388</v>
      </c>
      <c r="AV6" s="113">
        <f t="shared" ref="AV6:AV26" si="0">SUM(B6+D6+F6+H6+J6+L6+N6+P6+R6+T6+V6+X6+Z6+AB6+AD6+AF6+AH6+AJ6+AL6+AN6+AP6+AR6+AT6)</f>
        <v>109815.65</v>
      </c>
      <c r="AW6" s="124">
        <f t="shared" ref="AW6:AW26" si="1">SUM(C6+E6+G6+I6+K6+M6+O6+Q6+S6+U6+W6+Y6+AA6+AC6+AE6+AG6+AI6+AK6+AM6+AO6+AQ6+AS6+AU6)</f>
        <v>169542.97</v>
      </c>
      <c r="AX6" s="111">
        <v>151373.97</v>
      </c>
      <c r="AY6" s="112">
        <v>206817</v>
      </c>
      <c r="AZ6" s="113">
        <f t="shared" ref="AZ6:AZ27" si="2">AV6+AX6</f>
        <v>261189.62</v>
      </c>
      <c r="BA6" s="114">
        <f t="shared" ref="BA6:BA27" si="3">AW6+AY6</f>
        <v>376359.97</v>
      </c>
    </row>
    <row r="7" spans="1:53" s="160" customFormat="1" ht="14.25" x14ac:dyDescent="0.3">
      <c r="A7" s="177" t="s">
        <v>61</v>
      </c>
      <c r="B7" s="353">
        <v>3323.51</v>
      </c>
      <c r="C7" s="105">
        <v>3526</v>
      </c>
      <c r="D7" s="95">
        <v>46.59</v>
      </c>
      <c r="E7" s="96">
        <v>22</v>
      </c>
      <c r="F7" s="95">
        <v>158.41</v>
      </c>
      <c r="G7" s="96">
        <v>87</v>
      </c>
      <c r="H7" s="95">
        <v>1892.45</v>
      </c>
      <c r="I7" s="96">
        <v>2493</v>
      </c>
      <c r="J7" s="95">
        <v>1032.6300000000001</v>
      </c>
      <c r="K7" s="96">
        <v>774</v>
      </c>
      <c r="L7" s="95">
        <v>1162</v>
      </c>
      <c r="M7" s="96">
        <v>1242</v>
      </c>
      <c r="N7" s="95">
        <v>234</v>
      </c>
      <c r="O7" s="106">
        <v>222</v>
      </c>
      <c r="P7" s="95">
        <v>332.55</v>
      </c>
      <c r="Q7" s="97">
        <v>334</v>
      </c>
      <c r="R7" s="95">
        <v>1030.47</v>
      </c>
      <c r="S7" s="97">
        <v>739</v>
      </c>
      <c r="T7" s="123">
        <v>180.94</v>
      </c>
      <c r="U7" s="106">
        <v>194</v>
      </c>
      <c r="V7" s="95">
        <v>4966.96</v>
      </c>
      <c r="W7" s="97">
        <v>6711</v>
      </c>
      <c r="X7" s="123">
        <v>7450.89</v>
      </c>
      <c r="Y7" s="1208">
        <v>7142</v>
      </c>
      <c r="Z7" s="992">
        <v>293.43</v>
      </c>
      <c r="AA7" s="993">
        <v>232</v>
      </c>
      <c r="AB7" s="95">
        <v>677.28</v>
      </c>
      <c r="AC7" s="97">
        <v>873.32</v>
      </c>
      <c r="AD7" s="123">
        <v>2466.88</v>
      </c>
      <c r="AE7" s="97">
        <v>2590</v>
      </c>
      <c r="AF7" s="95">
        <v>5196.7700000000004</v>
      </c>
      <c r="AG7" s="97">
        <v>5806</v>
      </c>
      <c r="AH7" s="95">
        <v>1958.62</v>
      </c>
      <c r="AI7" s="97">
        <v>2299</v>
      </c>
      <c r="AJ7" s="95">
        <v>1224.5999999999999</v>
      </c>
      <c r="AK7" s="96">
        <v>1352</v>
      </c>
      <c r="AL7" s="446"/>
      <c r="AM7" s="96"/>
      <c r="AN7" s="207">
        <v>12250.97</v>
      </c>
      <c r="AO7" s="204">
        <v>12774</v>
      </c>
      <c r="AP7" s="447">
        <v>531.32000000000005</v>
      </c>
      <c r="AQ7" s="110">
        <v>515.54999999999995</v>
      </c>
      <c r="AR7" s="111">
        <v>2922.39</v>
      </c>
      <c r="AS7" s="112">
        <v>1577</v>
      </c>
      <c r="AT7" s="95">
        <v>3164.64</v>
      </c>
      <c r="AU7" s="96">
        <v>4222</v>
      </c>
      <c r="AV7" s="113">
        <f t="shared" si="0"/>
        <v>52498.3</v>
      </c>
      <c r="AW7" s="124">
        <f t="shared" si="1"/>
        <v>55726.87</v>
      </c>
      <c r="AX7" s="111">
        <v>233884.36</v>
      </c>
      <c r="AY7" s="112">
        <v>258653</v>
      </c>
      <c r="AZ7" s="113">
        <f t="shared" si="2"/>
        <v>286382.65999999997</v>
      </c>
      <c r="BA7" s="114">
        <f t="shared" si="3"/>
        <v>314379.87</v>
      </c>
    </row>
    <row r="8" spans="1:53" s="160" customFormat="1" ht="14.25" x14ac:dyDescent="0.3">
      <c r="A8" s="177" t="s">
        <v>62</v>
      </c>
      <c r="B8" s="353">
        <v>190.2</v>
      </c>
      <c r="C8" s="105">
        <v>510</v>
      </c>
      <c r="D8" s="95">
        <v>0.06</v>
      </c>
      <c r="E8" s="96">
        <v>1</v>
      </c>
      <c r="F8" s="95">
        <v>5.4</v>
      </c>
      <c r="G8" s="96"/>
      <c r="H8" s="95">
        <v>1177</v>
      </c>
      <c r="I8" s="96">
        <v>1656</v>
      </c>
      <c r="J8" s="95">
        <v>33.92</v>
      </c>
      <c r="K8" s="96">
        <v>50</v>
      </c>
      <c r="L8" s="95">
        <v>254</v>
      </c>
      <c r="M8" s="96">
        <v>327</v>
      </c>
      <c r="N8" s="95">
        <v>128</v>
      </c>
      <c r="O8" s="106">
        <v>282</v>
      </c>
      <c r="P8" s="95">
        <v>11.51</v>
      </c>
      <c r="Q8" s="97">
        <v>16</v>
      </c>
      <c r="R8" s="95">
        <v>35.630000000000003</v>
      </c>
      <c r="S8" s="97">
        <v>7</v>
      </c>
      <c r="T8" s="123">
        <v>37.51</v>
      </c>
      <c r="U8" s="106">
        <v>2</v>
      </c>
      <c r="V8" s="95">
        <v>2835.57</v>
      </c>
      <c r="W8" s="97">
        <v>5325</v>
      </c>
      <c r="X8" s="123">
        <v>2440.48</v>
      </c>
      <c r="Y8" s="1208">
        <v>3683</v>
      </c>
      <c r="Z8" s="992">
        <v>154.82</v>
      </c>
      <c r="AA8" s="993">
        <v>251</v>
      </c>
      <c r="AB8" s="95">
        <v>308.56</v>
      </c>
      <c r="AC8" s="97">
        <v>446.55</v>
      </c>
      <c r="AD8" s="123">
        <v>916.77</v>
      </c>
      <c r="AE8" s="97">
        <v>1789</v>
      </c>
      <c r="AF8" s="95">
        <v>738.67</v>
      </c>
      <c r="AG8" s="97">
        <v>1002</v>
      </c>
      <c r="AH8" s="95">
        <v>308.73</v>
      </c>
      <c r="AI8" s="97">
        <v>528</v>
      </c>
      <c r="AJ8" s="95">
        <v>7.73</v>
      </c>
      <c r="AK8" s="96">
        <v>6</v>
      </c>
      <c r="AL8" s="446"/>
      <c r="AM8" s="96"/>
      <c r="AN8" s="207">
        <v>2017.81</v>
      </c>
      <c r="AO8" s="204">
        <v>3611</v>
      </c>
      <c r="AP8" s="447">
        <v>69.599999999999994</v>
      </c>
      <c r="AQ8" s="110">
        <v>168.3</v>
      </c>
      <c r="AR8" s="111">
        <v>192.76</v>
      </c>
      <c r="AS8" s="112">
        <v>357</v>
      </c>
      <c r="AT8" s="95">
        <v>121.17</v>
      </c>
      <c r="AU8" s="96">
        <v>322</v>
      </c>
      <c r="AV8" s="113">
        <f t="shared" si="0"/>
        <v>11985.9</v>
      </c>
      <c r="AW8" s="124">
        <f t="shared" si="1"/>
        <v>20339.849999999999</v>
      </c>
      <c r="AX8" s="111">
        <v>5922.42</v>
      </c>
      <c r="AY8" s="112">
        <v>8519</v>
      </c>
      <c r="AZ8" s="113">
        <f t="shared" si="2"/>
        <v>17908.32</v>
      </c>
      <c r="BA8" s="114">
        <f t="shared" si="3"/>
        <v>28858.85</v>
      </c>
    </row>
    <row r="9" spans="1:53" s="160" customFormat="1" ht="14.25" x14ac:dyDescent="0.3">
      <c r="A9" s="177"/>
      <c r="B9" s="353"/>
      <c r="C9" s="978"/>
      <c r="D9" s="95"/>
      <c r="E9" s="123"/>
      <c r="F9" s="95"/>
      <c r="G9" s="123"/>
      <c r="H9" s="95"/>
      <c r="I9" s="123"/>
      <c r="J9" s="95"/>
      <c r="K9" s="123"/>
      <c r="L9" s="95"/>
      <c r="M9" s="123"/>
      <c r="N9" s="95"/>
      <c r="O9" s="860"/>
      <c r="P9" s="95"/>
      <c r="Q9" s="731"/>
      <c r="R9" s="95"/>
      <c r="S9" s="731"/>
      <c r="T9" s="123"/>
      <c r="U9" s="860"/>
      <c r="V9" s="95"/>
      <c r="W9" s="731"/>
      <c r="X9" s="123"/>
      <c r="Y9" s="1208"/>
      <c r="Z9" s="992"/>
      <c r="AA9" s="994"/>
      <c r="AB9" s="95"/>
      <c r="AC9" s="731"/>
      <c r="AD9" s="123"/>
      <c r="AE9" s="731"/>
      <c r="AF9" s="95"/>
      <c r="AG9" s="731"/>
      <c r="AH9" s="95"/>
      <c r="AI9" s="731"/>
      <c r="AJ9" s="95"/>
      <c r="AK9" s="123"/>
      <c r="AL9" s="446"/>
      <c r="AM9" s="123"/>
      <c r="AN9" s="207"/>
      <c r="AO9" s="979"/>
      <c r="AP9" s="447"/>
      <c r="AQ9" s="980"/>
      <c r="AR9" s="111"/>
      <c r="AS9" s="112"/>
      <c r="AT9" s="95"/>
      <c r="AU9" s="96"/>
      <c r="AV9" s="113"/>
      <c r="AW9" s="124"/>
      <c r="AX9" s="111"/>
      <c r="AY9" s="355"/>
      <c r="AZ9" s="113"/>
      <c r="BA9" s="114"/>
    </row>
    <row r="10" spans="1:53" s="452" customFormat="1" ht="14.25" x14ac:dyDescent="0.3">
      <c r="A10" s="178" t="s">
        <v>54</v>
      </c>
      <c r="B10" s="88">
        <f t="shared" ref="B10:AU10" si="4">SUM(B6:B8)</f>
        <v>8961.43</v>
      </c>
      <c r="C10" s="88">
        <f t="shared" si="4"/>
        <v>10847</v>
      </c>
      <c r="D10" s="113">
        <f t="shared" si="4"/>
        <v>122.82000000000001</v>
      </c>
      <c r="E10" s="113">
        <f t="shared" si="4"/>
        <v>26.22</v>
      </c>
      <c r="F10" s="113">
        <f t="shared" si="4"/>
        <v>446.65999999999997</v>
      </c>
      <c r="G10" s="124">
        <f t="shared" si="4"/>
        <v>405</v>
      </c>
      <c r="H10" s="113">
        <f t="shared" si="4"/>
        <v>10293.52</v>
      </c>
      <c r="I10" s="124">
        <f t="shared" si="4"/>
        <v>18468</v>
      </c>
      <c r="J10" s="113">
        <f t="shared" si="4"/>
        <v>2504.5300000000002</v>
      </c>
      <c r="K10" s="124">
        <f t="shared" si="4"/>
        <v>3255</v>
      </c>
      <c r="L10" s="113">
        <f t="shared" si="4"/>
        <v>3651</v>
      </c>
      <c r="M10" s="124">
        <f t="shared" si="4"/>
        <v>5969</v>
      </c>
      <c r="N10" s="113">
        <f t="shared" si="4"/>
        <v>604</v>
      </c>
      <c r="O10" s="125">
        <f t="shared" si="4"/>
        <v>913</v>
      </c>
      <c r="P10" s="113">
        <f t="shared" si="4"/>
        <v>1414.06</v>
      </c>
      <c r="Q10" s="126">
        <f t="shared" si="4"/>
        <v>1734</v>
      </c>
      <c r="R10" s="113">
        <f t="shared" si="4"/>
        <v>3521.7300000000005</v>
      </c>
      <c r="S10" s="126">
        <f t="shared" si="4"/>
        <v>3035</v>
      </c>
      <c r="T10" s="124">
        <f t="shared" si="4"/>
        <v>480.69</v>
      </c>
      <c r="U10" s="125">
        <f t="shared" si="4"/>
        <v>879</v>
      </c>
      <c r="V10" s="113">
        <f t="shared" si="4"/>
        <v>29509.73</v>
      </c>
      <c r="W10" s="126">
        <f t="shared" si="4"/>
        <v>36079</v>
      </c>
      <c r="X10" s="124">
        <f t="shared" si="4"/>
        <v>25715.19</v>
      </c>
      <c r="Y10" s="126">
        <f t="shared" si="4"/>
        <v>28831</v>
      </c>
      <c r="Z10" s="113">
        <f t="shared" si="4"/>
        <v>995.37999999999988</v>
      </c>
      <c r="AA10" s="126">
        <f t="shared" si="4"/>
        <v>1416</v>
      </c>
      <c r="AB10" s="113">
        <f t="shared" si="4"/>
        <v>2992.7</v>
      </c>
      <c r="AC10" s="126">
        <f t="shared" si="4"/>
        <v>5190.12</v>
      </c>
      <c r="AD10" s="124">
        <f t="shared" si="4"/>
        <v>6002.0400000000009</v>
      </c>
      <c r="AE10" s="126">
        <f t="shared" si="4"/>
        <v>9271</v>
      </c>
      <c r="AF10" s="113">
        <f t="shared" si="4"/>
        <v>20247.05</v>
      </c>
      <c r="AG10" s="126">
        <f t="shared" si="4"/>
        <v>23823</v>
      </c>
      <c r="AH10" s="113">
        <f t="shared" si="4"/>
        <v>5761.1100000000006</v>
      </c>
      <c r="AI10" s="126">
        <f t="shared" si="4"/>
        <v>7495</v>
      </c>
      <c r="AJ10" s="113">
        <f t="shared" si="4"/>
        <v>2568.12</v>
      </c>
      <c r="AK10" s="124">
        <f t="shared" si="4"/>
        <v>3250</v>
      </c>
      <c r="AL10" s="113">
        <f t="shared" si="4"/>
        <v>0</v>
      </c>
      <c r="AM10" s="124">
        <f t="shared" si="4"/>
        <v>0</v>
      </c>
      <c r="AN10" s="113">
        <f t="shared" si="4"/>
        <v>26169.11</v>
      </c>
      <c r="AO10" s="124">
        <f t="shared" si="4"/>
        <v>50758</v>
      </c>
      <c r="AP10" s="113">
        <f t="shared" si="4"/>
        <v>1871.2399999999998</v>
      </c>
      <c r="AQ10" s="124">
        <f t="shared" si="4"/>
        <v>2197.35</v>
      </c>
      <c r="AR10" s="449">
        <f t="shared" si="4"/>
        <v>4434.51</v>
      </c>
      <c r="AS10" s="183">
        <f t="shared" si="4"/>
        <v>4836</v>
      </c>
      <c r="AT10" s="449">
        <f t="shared" si="4"/>
        <v>16033.23</v>
      </c>
      <c r="AU10" s="183">
        <f t="shared" si="4"/>
        <v>26932</v>
      </c>
      <c r="AV10" s="113">
        <f t="shared" si="0"/>
        <v>174299.85</v>
      </c>
      <c r="AW10" s="124">
        <f t="shared" si="1"/>
        <v>245609.69</v>
      </c>
      <c r="AX10" s="450">
        <f>SUM(AX6:AX8)</f>
        <v>391180.74999999994</v>
      </c>
      <c r="AY10" s="450">
        <f>SUM(AY6:AY9)</f>
        <v>473989</v>
      </c>
      <c r="AZ10" s="113">
        <f t="shared" si="2"/>
        <v>565480.6</v>
      </c>
      <c r="BA10" s="114">
        <f t="shared" si="3"/>
        <v>719598.69</v>
      </c>
    </row>
    <row r="11" spans="1:53" s="160" customFormat="1" ht="14.25" x14ac:dyDescent="0.3">
      <c r="A11" s="177" t="s">
        <v>63</v>
      </c>
      <c r="B11" s="88"/>
      <c r="C11" s="453"/>
      <c r="D11" s="113"/>
      <c r="E11" s="117"/>
      <c r="F11" s="113"/>
      <c r="G11" s="117"/>
      <c r="H11" s="113"/>
      <c r="I11" s="117"/>
      <c r="J11" s="113"/>
      <c r="K11" s="117"/>
      <c r="L11" s="113"/>
      <c r="M11" s="117"/>
      <c r="N11" s="113"/>
      <c r="O11" s="119"/>
      <c r="P11" s="113"/>
      <c r="Q11" s="118"/>
      <c r="R11" s="113"/>
      <c r="S11" s="118"/>
      <c r="T11" s="124"/>
      <c r="U11" s="119"/>
      <c r="V11" s="113"/>
      <c r="W11" s="118"/>
      <c r="X11" s="124"/>
      <c r="Y11" s="118"/>
      <c r="Z11" s="992"/>
      <c r="AA11" s="993"/>
      <c r="AB11" s="113"/>
      <c r="AC11" s="118"/>
      <c r="AD11" s="454"/>
      <c r="AE11" s="1209"/>
      <c r="AF11" s="113"/>
      <c r="AG11" s="118"/>
      <c r="AH11" s="113"/>
      <c r="AI11" s="118"/>
      <c r="AJ11" s="113"/>
      <c r="AK11" s="117"/>
      <c r="AL11" s="446"/>
      <c r="AM11" s="96"/>
      <c r="AN11" s="95"/>
      <c r="AO11" s="96"/>
      <c r="AP11" s="447"/>
      <c r="AQ11" s="110"/>
      <c r="AR11" s="111"/>
      <c r="AS11" s="112"/>
      <c r="AT11" s="113"/>
      <c r="AU11" s="117"/>
      <c r="AV11" s="113">
        <f t="shared" si="0"/>
        <v>0</v>
      </c>
      <c r="AW11" s="124">
        <f t="shared" si="1"/>
        <v>0</v>
      </c>
      <c r="AX11" s="113"/>
      <c r="AY11" s="117"/>
      <c r="AZ11" s="113">
        <f t="shared" si="2"/>
        <v>0</v>
      </c>
      <c r="BA11" s="114">
        <f t="shared" si="3"/>
        <v>0</v>
      </c>
    </row>
    <row r="12" spans="1:53" s="160" customFormat="1" ht="14.25" x14ac:dyDescent="0.3">
      <c r="A12" s="177" t="s">
        <v>64</v>
      </c>
      <c r="B12" s="353"/>
      <c r="C12" s="105"/>
      <c r="D12" s="95"/>
      <c r="E12" s="96"/>
      <c r="F12" s="95"/>
      <c r="G12" s="96"/>
      <c r="H12" s="95">
        <v>-2.25</v>
      </c>
      <c r="I12" s="96"/>
      <c r="J12" s="95"/>
      <c r="K12" s="96"/>
      <c r="L12" s="95"/>
      <c r="M12" s="96"/>
      <c r="N12" s="95"/>
      <c r="O12" s="106"/>
      <c r="P12" s="95"/>
      <c r="Q12" s="97"/>
      <c r="R12" s="95"/>
      <c r="S12" s="97"/>
      <c r="T12" s="123"/>
      <c r="U12" s="106"/>
      <c r="V12" s="95"/>
      <c r="W12" s="97"/>
      <c r="X12" s="123"/>
      <c r="Y12" s="97"/>
      <c r="Z12" s="95"/>
      <c r="AA12" s="97"/>
      <c r="AB12" s="95"/>
      <c r="AC12" s="97"/>
      <c r="AD12" s="123"/>
      <c r="AE12" s="97"/>
      <c r="AF12" s="95"/>
      <c r="AG12" s="97"/>
      <c r="AH12" s="95"/>
      <c r="AI12" s="97"/>
      <c r="AJ12" s="95"/>
      <c r="AK12" s="96"/>
      <c r="AL12" s="446"/>
      <c r="AM12" s="96"/>
      <c r="AN12" s="95"/>
      <c r="AO12" s="96"/>
      <c r="AP12" s="447"/>
      <c r="AQ12" s="110"/>
      <c r="AR12" s="111"/>
      <c r="AS12" s="112"/>
      <c r="AT12" s="95">
        <v>-7.4</v>
      </c>
      <c r="AU12" s="96">
        <v>-14</v>
      </c>
      <c r="AV12" s="113">
        <f t="shared" si="0"/>
        <v>-9.65</v>
      </c>
      <c r="AW12" s="124">
        <f t="shared" si="1"/>
        <v>-14</v>
      </c>
      <c r="AX12" s="111"/>
      <c r="AY12" s="112"/>
      <c r="AZ12" s="113">
        <f t="shared" si="2"/>
        <v>-9.65</v>
      </c>
      <c r="BA12" s="114">
        <f t="shared" si="3"/>
        <v>-14</v>
      </c>
    </row>
    <row r="13" spans="1:53" s="452" customFormat="1" ht="14.25" x14ac:dyDescent="0.3">
      <c r="A13" s="178" t="s">
        <v>65</v>
      </c>
      <c r="B13" s="88">
        <f t="shared" ref="B13:G13" si="5">B10</f>
        <v>8961.43</v>
      </c>
      <c r="C13" s="88">
        <f t="shared" si="5"/>
        <v>10847</v>
      </c>
      <c r="D13" s="88">
        <f t="shared" si="5"/>
        <v>122.82000000000001</v>
      </c>
      <c r="E13" s="88">
        <f t="shared" si="5"/>
        <v>26.22</v>
      </c>
      <c r="F13" s="88">
        <f t="shared" si="5"/>
        <v>446.65999999999997</v>
      </c>
      <c r="G13" s="88">
        <f t="shared" si="5"/>
        <v>405</v>
      </c>
      <c r="H13" s="88">
        <f>H10+H12</f>
        <v>10291.27</v>
      </c>
      <c r="I13" s="88">
        <f>I10+I12</f>
        <v>18468</v>
      </c>
      <c r="J13" s="88">
        <f t="shared" ref="J13:AG13" si="6">J10</f>
        <v>2504.5300000000002</v>
      </c>
      <c r="K13" s="88">
        <f t="shared" si="6"/>
        <v>3255</v>
      </c>
      <c r="L13" s="88">
        <f t="shared" si="6"/>
        <v>3651</v>
      </c>
      <c r="M13" s="88">
        <f t="shared" si="6"/>
        <v>5969</v>
      </c>
      <c r="N13" s="88">
        <f t="shared" si="6"/>
        <v>604</v>
      </c>
      <c r="O13" s="448">
        <f t="shared" si="6"/>
        <v>913</v>
      </c>
      <c r="P13" s="88">
        <f t="shared" si="6"/>
        <v>1414.06</v>
      </c>
      <c r="Q13" s="455">
        <f t="shared" si="6"/>
        <v>1734</v>
      </c>
      <c r="R13" s="88">
        <f>R10+R11</f>
        <v>3521.7300000000005</v>
      </c>
      <c r="S13" s="455">
        <f>S10+S11</f>
        <v>3035</v>
      </c>
      <c r="T13" s="116">
        <f t="shared" si="6"/>
        <v>480.69</v>
      </c>
      <c r="U13" s="448">
        <f t="shared" si="6"/>
        <v>879</v>
      </c>
      <c r="V13" s="88">
        <f t="shared" si="6"/>
        <v>29509.73</v>
      </c>
      <c r="W13" s="455">
        <f t="shared" si="6"/>
        <v>36079</v>
      </c>
      <c r="X13" s="116">
        <f t="shared" si="6"/>
        <v>25715.19</v>
      </c>
      <c r="Y13" s="455">
        <f t="shared" si="6"/>
        <v>28831</v>
      </c>
      <c r="Z13" s="88">
        <f t="shared" si="6"/>
        <v>995.37999999999988</v>
      </c>
      <c r="AA13" s="455">
        <f t="shared" si="6"/>
        <v>1416</v>
      </c>
      <c r="AB13" s="88">
        <f t="shared" si="6"/>
        <v>2992.7</v>
      </c>
      <c r="AC13" s="455">
        <f t="shared" si="6"/>
        <v>5190.12</v>
      </c>
      <c r="AD13" s="116">
        <f t="shared" si="6"/>
        <v>6002.0400000000009</v>
      </c>
      <c r="AE13" s="455">
        <f t="shared" si="6"/>
        <v>9271</v>
      </c>
      <c r="AF13" s="113">
        <f t="shared" si="6"/>
        <v>20247.05</v>
      </c>
      <c r="AG13" s="114">
        <f t="shared" si="6"/>
        <v>23823</v>
      </c>
      <c r="AH13" s="113">
        <v>5761.11</v>
      </c>
      <c r="AI13" s="114">
        <f>AI10</f>
        <v>7495</v>
      </c>
      <c r="AJ13" s="113">
        <f>AJ10</f>
        <v>2568.12</v>
      </c>
      <c r="AK13" s="113">
        <f>AK10</f>
        <v>3250</v>
      </c>
      <c r="AL13" s="113"/>
      <c r="AM13" s="124"/>
      <c r="AN13" s="449">
        <v>26169.11</v>
      </c>
      <c r="AO13" s="183">
        <f>AO10</f>
        <v>50758</v>
      </c>
      <c r="AP13" s="449">
        <f>AP10</f>
        <v>1871.2399999999998</v>
      </c>
      <c r="AQ13" s="183">
        <f>AQ10</f>
        <v>2197.35</v>
      </c>
      <c r="AR13" s="449">
        <f>AR10</f>
        <v>4434.51</v>
      </c>
      <c r="AS13" s="449">
        <f>AS10</f>
        <v>4836</v>
      </c>
      <c r="AT13" s="449">
        <f>AT10+AT12</f>
        <v>16025.83</v>
      </c>
      <c r="AU13" s="449">
        <f>AU10+AU12</f>
        <v>26918</v>
      </c>
      <c r="AV13" s="113">
        <f t="shared" si="0"/>
        <v>174290.19999999998</v>
      </c>
      <c r="AW13" s="124">
        <f t="shared" si="1"/>
        <v>245595.69</v>
      </c>
      <c r="AX13" s="450">
        <f>AX10</f>
        <v>391180.74999999994</v>
      </c>
      <c r="AY13" s="451">
        <f>AY10</f>
        <v>473989</v>
      </c>
      <c r="AZ13" s="113">
        <f t="shared" si="2"/>
        <v>565470.94999999995</v>
      </c>
      <c r="BA13" s="114">
        <f t="shared" si="3"/>
        <v>719584.69</v>
      </c>
    </row>
    <row r="14" spans="1:53" s="452" customFormat="1" ht="14.25" x14ac:dyDescent="0.3">
      <c r="A14" s="178" t="s">
        <v>313</v>
      </c>
      <c r="B14" s="88">
        <v>482.01</v>
      </c>
      <c r="C14" s="116">
        <v>600</v>
      </c>
      <c r="D14" s="88"/>
      <c r="E14" s="116"/>
      <c r="F14" s="88">
        <v>33.630000000000003</v>
      </c>
      <c r="G14" s="116">
        <v>12</v>
      </c>
      <c r="H14" s="88">
        <v>566.55999999999995</v>
      </c>
      <c r="I14" s="116">
        <v>1159</v>
      </c>
      <c r="J14" s="88">
        <v>233.72</v>
      </c>
      <c r="K14" s="116">
        <v>120</v>
      </c>
      <c r="L14" s="88"/>
      <c r="M14" s="116"/>
      <c r="N14" s="88">
        <v>11</v>
      </c>
      <c r="O14" s="967">
        <v>78</v>
      </c>
      <c r="P14" s="88">
        <v>99.22</v>
      </c>
      <c r="Q14" s="968">
        <v>61</v>
      </c>
      <c r="R14" s="113">
        <v>388.74</v>
      </c>
      <c r="S14" s="118">
        <v>424</v>
      </c>
      <c r="T14" s="116"/>
      <c r="U14" s="967">
        <v>2</v>
      </c>
      <c r="V14" s="88">
        <v>716.51</v>
      </c>
      <c r="W14" s="968">
        <v>507</v>
      </c>
      <c r="X14" s="116">
        <v>1341.48</v>
      </c>
      <c r="Y14" s="968">
        <v>1760</v>
      </c>
      <c r="Z14" s="88"/>
      <c r="AA14" s="968"/>
      <c r="AB14" s="88"/>
      <c r="AC14" s="968"/>
      <c r="AD14" s="116">
        <v>282.47000000000003</v>
      </c>
      <c r="AE14" s="968">
        <v>529</v>
      </c>
      <c r="AF14" s="113">
        <v>628.98</v>
      </c>
      <c r="AG14" s="126">
        <v>923</v>
      </c>
      <c r="AH14" s="113">
        <v>115.94</v>
      </c>
      <c r="AI14" s="126">
        <v>247</v>
      </c>
      <c r="AJ14" s="113">
        <v>133.94</v>
      </c>
      <c r="AK14" s="124">
        <v>326</v>
      </c>
      <c r="AL14" s="113"/>
      <c r="AM14" s="124"/>
      <c r="AN14" s="449">
        <v>820.64</v>
      </c>
      <c r="AO14" s="183">
        <v>2002</v>
      </c>
      <c r="AP14" s="449">
        <v>94.81</v>
      </c>
      <c r="AQ14" s="183">
        <v>115.67</v>
      </c>
      <c r="AR14" s="449"/>
      <c r="AS14" s="969"/>
      <c r="AT14" s="449">
        <v>1360.86</v>
      </c>
      <c r="AU14" s="969">
        <v>2201</v>
      </c>
      <c r="AV14" s="113"/>
      <c r="AW14" s="124"/>
      <c r="AX14" s="450">
        <v>27586.19</v>
      </c>
      <c r="AY14" s="451">
        <v>28547</v>
      </c>
      <c r="AZ14" s="113">
        <f t="shared" si="2"/>
        <v>27586.19</v>
      </c>
      <c r="BA14" s="114">
        <f t="shared" si="3"/>
        <v>28547</v>
      </c>
    </row>
    <row r="15" spans="1:53" s="452" customFormat="1" ht="14.25" x14ac:dyDescent="0.3">
      <c r="A15" s="178" t="s">
        <v>314</v>
      </c>
      <c r="B15" s="88">
        <f>B13+B14</f>
        <v>9443.44</v>
      </c>
      <c r="C15" s="116">
        <f>C10+C14</f>
        <v>11447</v>
      </c>
      <c r="D15" s="88">
        <f>D13+D14</f>
        <v>122.82000000000001</v>
      </c>
      <c r="E15" s="116">
        <f>E10+E14</f>
        <v>26.22</v>
      </c>
      <c r="F15" s="88">
        <v>48029</v>
      </c>
      <c r="G15" s="116">
        <f>G10+G14</f>
        <v>417</v>
      </c>
      <c r="H15" s="88">
        <f>H13+H14</f>
        <v>10857.83</v>
      </c>
      <c r="I15" s="116">
        <f>I10+I14</f>
        <v>19627</v>
      </c>
      <c r="J15" s="88">
        <f>J13+J14</f>
        <v>2738.25</v>
      </c>
      <c r="K15" s="116">
        <f>K10+K14</f>
        <v>3375</v>
      </c>
      <c r="L15" s="88">
        <f>L13+L14</f>
        <v>3651</v>
      </c>
      <c r="M15" s="116">
        <f>M10+M14</f>
        <v>5969</v>
      </c>
      <c r="N15" s="88">
        <f>N13+N14</f>
        <v>615</v>
      </c>
      <c r="O15" s="967">
        <f>O10+O14</f>
        <v>991</v>
      </c>
      <c r="P15" s="88">
        <f>P13+P14</f>
        <v>1513.28</v>
      </c>
      <c r="Q15" s="968">
        <f>Q10+Q14</f>
        <v>1795</v>
      </c>
      <c r="R15" s="88">
        <f>R13+R14</f>
        <v>3910.4700000000003</v>
      </c>
      <c r="S15" s="968">
        <f>S10+S14</f>
        <v>3459</v>
      </c>
      <c r="T15" s="116">
        <f>T13+T14</f>
        <v>480.69</v>
      </c>
      <c r="U15" s="967">
        <f>U10+U14</f>
        <v>881</v>
      </c>
      <c r="V15" s="88">
        <f>V13+V14</f>
        <v>30226.239999999998</v>
      </c>
      <c r="W15" s="968">
        <f>W10+W14</f>
        <v>36586</v>
      </c>
      <c r="X15" s="116">
        <f>X13+X14</f>
        <v>27056.67</v>
      </c>
      <c r="Y15" s="968">
        <f>Y10+Y14</f>
        <v>30591</v>
      </c>
      <c r="Z15" s="88">
        <f>Z13+Z14</f>
        <v>995.37999999999988</v>
      </c>
      <c r="AA15" s="968">
        <f>AA10+AA14</f>
        <v>1416</v>
      </c>
      <c r="AB15" s="88">
        <f>AB13+AB14</f>
        <v>2992.7</v>
      </c>
      <c r="AC15" s="968">
        <f>AC10+AC14</f>
        <v>5190.12</v>
      </c>
      <c r="AD15" s="116">
        <f>AD13+AD14</f>
        <v>6284.5100000000011</v>
      </c>
      <c r="AE15" s="968">
        <f>AE10+AE14</f>
        <v>9800</v>
      </c>
      <c r="AF15" s="113">
        <f>AF13+AF14</f>
        <v>20876.03</v>
      </c>
      <c r="AG15" s="126">
        <f>AG10+AG14</f>
        <v>24746</v>
      </c>
      <c r="AH15" s="113">
        <v>5877.05</v>
      </c>
      <c r="AI15" s="126">
        <f>AI10+AI14</f>
        <v>7742</v>
      </c>
      <c r="AJ15" s="113">
        <f>AJ13+AJ14</f>
        <v>2702.06</v>
      </c>
      <c r="AK15" s="124">
        <f>AK10+AK14</f>
        <v>3576</v>
      </c>
      <c r="AL15" s="113">
        <f>AL13+AL14</f>
        <v>0</v>
      </c>
      <c r="AM15" s="124">
        <f>AM10+AM14</f>
        <v>0</v>
      </c>
      <c r="AN15" s="449">
        <f>AN13+AN14</f>
        <v>26989.75</v>
      </c>
      <c r="AO15" s="183">
        <f>AO10+AO14</f>
        <v>52760</v>
      </c>
      <c r="AP15" s="449">
        <f>AP13+AP14</f>
        <v>1966.0499999999997</v>
      </c>
      <c r="AQ15" s="183">
        <f>AQ10+AQ14</f>
        <v>2313.02</v>
      </c>
      <c r="AR15" s="449">
        <f>AR13+AR14</f>
        <v>4434.51</v>
      </c>
      <c r="AS15" s="969">
        <f>AS10+AS14</f>
        <v>4836</v>
      </c>
      <c r="AT15" s="449">
        <f>AT13+AT14</f>
        <v>17386.689999999999</v>
      </c>
      <c r="AU15" s="969">
        <f>AU10+AU14</f>
        <v>29133</v>
      </c>
      <c r="AV15" s="113"/>
      <c r="AW15" s="124"/>
      <c r="AX15" s="450">
        <f>AX13+AX14</f>
        <v>418766.93999999994</v>
      </c>
      <c r="AY15" s="451">
        <f>AY10+AY14</f>
        <v>502536</v>
      </c>
      <c r="AZ15" s="113">
        <f t="shared" si="2"/>
        <v>418766.93999999994</v>
      </c>
      <c r="BA15" s="114">
        <f t="shared" si="3"/>
        <v>502536</v>
      </c>
    </row>
    <row r="16" spans="1:53" s="160" customFormat="1" ht="14.25" x14ac:dyDescent="0.3">
      <c r="A16" s="178" t="s">
        <v>66</v>
      </c>
      <c r="B16" s="353"/>
      <c r="C16" s="105"/>
      <c r="D16" s="95"/>
      <c r="E16" s="96"/>
      <c r="F16" s="95"/>
      <c r="G16" s="96"/>
      <c r="H16" s="95"/>
      <c r="I16" s="96"/>
      <c r="J16" s="95"/>
      <c r="K16" s="96"/>
      <c r="L16" s="95"/>
      <c r="M16" s="96"/>
      <c r="N16" s="95"/>
      <c r="O16" s="106"/>
      <c r="P16" s="95"/>
      <c r="Q16" s="97"/>
      <c r="R16" s="95"/>
      <c r="S16" s="97"/>
      <c r="T16" s="123"/>
      <c r="U16" s="106"/>
      <c r="V16" s="95"/>
      <c r="W16" s="97"/>
      <c r="X16" s="123"/>
      <c r="Y16" s="97"/>
      <c r="Z16" s="95"/>
      <c r="AA16" s="97"/>
      <c r="AB16" s="95"/>
      <c r="AC16" s="97"/>
      <c r="AD16" s="123"/>
      <c r="AE16" s="97"/>
      <c r="AF16" s="95"/>
      <c r="AG16" s="97"/>
      <c r="AH16" s="95"/>
      <c r="AI16" s="97"/>
      <c r="AJ16" s="95"/>
      <c r="AK16" s="96"/>
      <c r="AL16" s="446"/>
      <c r="AM16" s="96"/>
      <c r="AN16" s="95"/>
      <c r="AO16" s="96"/>
      <c r="AP16" s="447"/>
      <c r="AQ16" s="110"/>
      <c r="AR16" s="111"/>
      <c r="AS16" s="112"/>
      <c r="AT16" s="95"/>
      <c r="AU16" s="96"/>
      <c r="AV16" s="113">
        <f t="shared" si="0"/>
        <v>0</v>
      </c>
      <c r="AW16" s="124">
        <f t="shared" si="1"/>
        <v>0</v>
      </c>
      <c r="AX16" s="111"/>
      <c r="AY16" s="112"/>
      <c r="AZ16" s="113">
        <f t="shared" si="2"/>
        <v>0</v>
      </c>
      <c r="BA16" s="114">
        <f t="shared" si="3"/>
        <v>0</v>
      </c>
    </row>
    <row r="17" spans="1:53" s="160" customFormat="1" ht="14.25" x14ac:dyDescent="0.3">
      <c r="A17" s="178" t="s">
        <v>67</v>
      </c>
      <c r="B17" s="353"/>
      <c r="C17" s="105"/>
      <c r="D17" s="95"/>
      <c r="E17" s="96"/>
      <c r="F17" s="95"/>
      <c r="G17" s="96"/>
      <c r="H17" s="95"/>
      <c r="I17" s="96"/>
      <c r="J17" s="95"/>
      <c r="K17" s="96"/>
      <c r="L17" s="95"/>
      <c r="M17" s="96"/>
      <c r="N17" s="95"/>
      <c r="O17" s="106"/>
      <c r="P17" s="95"/>
      <c r="Q17" s="97"/>
      <c r="R17" s="95"/>
      <c r="S17" s="97"/>
      <c r="T17" s="123"/>
      <c r="U17" s="106"/>
      <c r="V17" s="95"/>
      <c r="W17" s="97"/>
      <c r="X17" s="123"/>
      <c r="Y17" s="97"/>
      <c r="Z17" s="95"/>
      <c r="AA17" s="97"/>
      <c r="AB17" s="95"/>
      <c r="AC17" s="97"/>
      <c r="AD17" s="123"/>
      <c r="AE17" s="97"/>
      <c r="AF17" s="95"/>
      <c r="AG17" s="97"/>
      <c r="AH17" s="95"/>
      <c r="AI17" s="97"/>
      <c r="AJ17" s="95"/>
      <c r="AK17" s="96"/>
      <c r="AL17" s="446"/>
      <c r="AM17" s="96"/>
      <c r="AN17" s="95"/>
      <c r="AO17" s="96"/>
      <c r="AP17" s="447"/>
      <c r="AQ17" s="110"/>
      <c r="AR17" s="111"/>
      <c r="AS17" s="112"/>
      <c r="AT17" s="95"/>
      <c r="AU17" s="96"/>
      <c r="AV17" s="113">
        <f t="shared" si="0"/>
        <v>0</v>
      </c>
      <c r="AW17" s="124">
        <f t="shared" si="1"/>
        <v>0</v>
      </c>
      <c r="AX17" s="111"/>
      <c r="AY17" s="112"/>
      <c r="AZ17" s="113">
        <f t="shared" si="2"/>
        <v>0</v>
      </c>
      <c r="BA17" s="114">
        <f t="shared" si="3"/>
        <v>0</v>
      </c>
    </row>
    <row r="18" spans="1:53" s="160" customFormat="1" ht="14.25" x14ac:dyDescent="0.3">
      <c r="A18" s="177" t="s">
        <v>68</v>
      </c>
      <c r="B18" s="88">
        <v>4048</v>
      </c>
      <c r="C18" s="453">
        <v>4238</v>
      </c>
      <c r="D18" s="113">
        <v>2</v>
      </c>
      <c r="E18" s="117">
        <v>1</v>
      </c>
      <c r="F18" s="113">
        <v>222</v>
      </c>
      <c r="G18" s="117">
        <v>82</v>
      </c>
      <c r="H18" s="113">
        <v>5449</v>
      </c>
      <c r="I18" s="117">
        <v>8421</v>
      </c>
      <c r="J18" s="113">
        <v>1040.23</v>
      </c>
      <c r="K18" s="117">
        <v>905</v>
      </c>
      <c r="L18" s="113">
        <v>27</v>
      </c>
      <c r="M18" s="117">
        <v>25</v>
      </c>
      <c r="N18" s="113">
        <v>404</v>
      </c>
      <c r="O18" s="119">
        <v>514</v>
      </c>
      <c r="P18" s="113">
        <v>878.61</v>
      </c>
      <c r="Q18" s="118">
        <v>1115</v>
      </c>
      <c r="R18" s="113">
        <v>2631.29</v>
      </c>
      <c r="S18" s="118">
        <v>1718</v>
      </c>
      <c r="T18" s="124">
        <v>89</v>
      </c>
      <c r="U18" s="119">
        <v>248</v>
      </c>
      <c r="V18" s="113">
        <v>6268.73</v>
      </c>
      <c r="W18" s="118">
        <v>7112</v>
      </c>
      <c r="X18" s="124">
        <v>7856.66</v>
      </c>
      <c r="Y18" s="118">
        <v>10027</v>
      </c>
      <c r="Z18" s="992">
        <v>110.55</v>
      </c>
      <c r="AA18" s="993">
        <v>94</v>
      </c>
      <c r="AB18" s="113">
        <v>229.44</v>
      </c>
      <c r="AC18" s="118">
        <v>390.3</v>
      </c>
      <c r="AD18" s="454">
        <v>2564</v>
      </c>
      <c r="AE18" s="1209">
        <v>4386</v>
      </c>
      <c r="AF18" s="113">
        <v>4857</v>
      </c>
      <c r="AG18" s="118">
        <v>6261</v>
      </c>
      <c r="AH18" s="113">
        <v>485.87</v>
      </c>
      <c r="AI18" s="118">
        <v>996</v>
      </c>
      <c r="AJ18" s="113">
        <v>2111.79</v>
      </c>
      <c r="AK18" s="117">
        <v>2712</v>
      </c>
      <c r="AL18" s="446"/>
      <c r="AM18" s="96"/>
      <c r="AN18" s="207">
        <v>10770</v>
      </c>
      <c r="AO18" s="204">
        <v>19807</v>
      </c>
      <c r="AP18" s="447">
        <v>303.05</v>
      </c>
      <c r="AQ18" s="110">
        <v>302.83999999999997</v>
      </c>
      <c r="AR18" s="111">
        <v>-0.19</v>
      </c>
      <c r="AS18" s="112">
        <v>3</v>
      </c>
      <c r="AT18" s="113">
        <v>6082</v>
      </c>
      <c r="AU18" s="117">
        <v>9766</v>
      </c>
      <c r="AV18" s="113">
        <f t="shared" si="0"/>
        <v>56430.03</v>
      </c>
      <c r="AW18" s="124">
        <f t="shared" si="1"/>
        <v>79124.14</v>
      </c>
      <c r="AX18" s="113">
        <v>416506.86</v>
      </c>
      <c r="AY18" s="117">
        <v>498185</v>
      </c>
      <c r="AZ18" s="113">
        <f t="shared" si="2"/>
        <v>472936.89</v>
      </c>
      <c r="BA18" s="114">
        <f t="shared" si="3"/>
        <v>577309.14</v>
      </c>
    </row>
    <row r="19" spans="1:53" s="160" customFormat="1" ht="14.25" x14ac:dyDescent="0.3">
      <c r="A19" s="177" t="s">
        <v>6</v>
      </c>
      <c r="B19" s="353">
        <v>498</v>
      </c>
      <c r="C19" s="105">
        <v>642</v>
      </c>
      <c r="D19" s="95">
        <v>57</v>
      </c>
      <c r="E19" s="96">
        <v>7</v>
      </c>
      <c r="F19" s="95">
        <v>30</v>
      </c>
      <c r="G19" s="96">
        <v>32</v>
      </c>
      <c r="H19" s="95">
        <v>497</v>
      </c>
      <c r="I19" s="96">
        <v>1085</v>
      </c>
      <c r="J19" s="95">
        <v>1005.57</v>
      </c>
      <c r="K19" s="96">
        <v>1738</v>
      </c>
      <c r="L19" s="95">
        <v>14</v>
      </c>
      <c r="M19" s="96">
        <v>196</v>
      </c>
      <c r="N19" s="95">
        <v>50</v>
      </c>
      <c r="O19" s="106">
        <v>71</v>
      </c>
      <c r="P19" s="95">
        <v>193.31</v>
      </c>
      <c r="Q19" s="97">
        <v>63</v>
      </c>
      <c r="R19" s="95">
        <v>1012.13</v>
      </c>
      <c r="S19" s="97">
        <v>1503</v>
      </c>
      <c r="T19" s="123">
        <v>98</v>
      </c>
      <c r="U19" s="106">
        <v>135</v>
      </c>
      <c r="V19" s="95">
        <v>2235</v>
      </c>
      <c r="W19" s="97">
        <v>3569</v>
      </c>
      <c r="X19" s="123">
        <v>2180.81</v>
      </c>
      <c r="Y19" s="97">
        <v>4113</v>
      </c>
      <c r="Z19" s="992">
        <v>11.73</v>
      </c>
      <c r="AA19" s="993">
        <v>20</v>
      </c>
      <c r="AB19" s="95">
        <v>163</v>
      </c>
      <c r="AC19" s="97">
        <v>259.7</v>
      </c>
      <c r="AD19" s="123">
        <v>552</v>
      </c>
      <c r="AE19" s="97">
        <v>899</v>
      </c>
      <c r="AF19" s="95">
        <v>153.47</v>
      </c>
      <c r="AG19" s="97">
        <v>1488</v>
      </c>
      <c r="AH19" s="95">
        <v>385</v>
      </c>
      <c r="AI19" s="97">
        <v>806</v>
      </c>
      <c r="AJ19" s="95">
        <v>212.79</v>
      </c>
      <c r="AK19" s="96">
        <v>363</v>
      </c>
      <c r="AL19" s="446"/>
      <c r="AM19" s="96"/>
      <c r="AN19" s="207">
        <v>126</v>
      </c>
      <c r="AO19" s="204">
        <v>128</v>
      </c>
      <c r="AP19" s="447">
        <v>388.38</v>
      </c>
      <c r="AQ19" s="110">
        <v>449.57</v>
      </c>
      <c r="AR19" s="111">
        <v>13.12</v>
      </c>
      <c r="AS19" s="112">
        <v>20</v>
      </c>
      <c r="AT19" s="95">
        <v>2083</v>
      </c>
      <c r="AU19" s="96">
        <v>6003</v>
      </c>
      <c r="AV19" s="113">
        <f t="shared" si="0"/>
        <v>11959.31</v>
      </c>
      <c r="AW19" s="124">
        <f t="shared" si="1"/>
        <v>23590.27</v>
      </c>
      <c r="AX19" s="95">
        <v>36.770000000000003</v>
      </c>
      <c r="AY19" s="96">
        <v>64</v>
      </c>
      <c r="AZ19" s="113">
        <f t="shared" si="2"/>
        <v>11996.08</v>
      </c>
      <c r="BA19" s="114">
        <f t="shared" si="3"/>
        <v>23654.27</v>
      </c>
    </row>
    <row r="20" spans="1:53" s="160" customFormat="1" ht="14.25" x14ac:dyDescent="0.3">
      <c r="A20" s="177" t="s">
        <v>69</v>
      </c>
      <c r="B20" s="353">
        <v>4882</v>
      </c>
      <c r="C20" s="105">
        <v>6526</v>
      </c>
      <c r="D20" s="95">
        <v>12</v>
      </c>
      <c r="E20" s="96">
        <v>7</v>
      </c>
      <c r="F20" s="95">
        <v>204</v>
      </c>
      <c r="G20" s="96">
        <v>271</v>
      </c>
      <c r="H20" s="95">
        <v>4680.18</v>
      </c>
      <c r="I20" s="96">
        <v>9824</v>
      </c>
      <c r="J20" s="95">
        <v>690.08</v>
      </c>
      <c r="K20" s="96">
        <v>733</v>
      </c>
      <c r="L20" s="95">
        <v>3500</v>
      </c>
      <c r="M20" s="96">
        <v>5696</v>
      </c>
      <c r="N20" s="95">
        <v>157</v>
      </c>
      <c r="O20" s="106">
        <v>400</v>
      </c>
      <c r="P20" s="95">
        <v>440.33</v>
      </c>
      <c r="Q20" s="97">
        <v>617</v>
      </c>
      <c r="R20" s="95">
        <v>67.27</v>
      </c>
      <c r="S20" s="97">
        <v>33</v>
      </c>
      <c r="T20" s="123">
        <v>251</v>
      </c>
      <c r="U20" s="106">
        <v>463</v>
      </c>
      <c r="V20" s="95">
        <v>2257</v>
      </c>
      <c r="W20" s="97">
        <v>3815</v>
      </c>
      <c r="X20" s="123">
        <v>15239.2</v>
      </c>
      <c r="Y20" s="97">
        <v>16257</v>
      </c>
      <c r="Z20" s="992">
        <v>873.1</v>
      </c>
      <c r="AA20" s="993">
        <v>1302</v>
      </c>
      <c r="AB20" s="95">
        <v>2584.36</v>
      </c>
      <c r="AC20" s="97">
        <v>4509.18</v>
      </c>
      <c r="AD20" s="123">
        <v>2873</v>
      </c>
      <c r="AE20" s="97">
        <v>3959</v>
      </c>
      <c r="AF20" s="95">
        <v>248</v>
      </c>
      <c r="AG20" s="97">
        <v>217</v>
      </c>
      <c r="AH20" s="95">
        <v>4544.59</v>
      </c>
      <c r="AI20" s="97">
        <v>5641</v>
      </c>
      <c r="AJ20" s="95">
        <v>376.86</v>
      </c>
      <c r="AK20" s="96">
        <v>501</v>
      </c>
      <c r="AL20" s="446"/>
      <c r="AM20" s="96"/>
      <c r="AN20" s="207">
        <v>706.34</v>
      </c>
      <c r="AO20" s="204">
        <v>1947</v>
      </c>
      <c r="AP20" s="447">
        <v>1274.5899999999999</v>
      </c>
      <c r="AQ20" s="110">
        <v>1560.19</v>
      </c>
      <c r="AR20" s="111"/>
      <c r="AS20" s="112"/>
      <c r="AT20" s="95">
        <v>172</v>
      </c>
      <c r="AU20" s="96">
        <v>307</v>
      </c>
      <c r="AV20" s="113">
        <f t="shared" si="0"/>
        <v>46032.899999999994</v>
      </c>
      <c r="AW20" s="124">
        <f t="shared" si="1"/>
        <v>64585.37</v>
      </c>
      <c r="AX20" s="95">
        <v>272.18</v>
      </c>
      <c r="AY20" s="96">
        <v>452</v>
      </c>
      <c r="AZ20" s="113">
        <f t="shared" si="2"/>
        <v>46305.079999999994</v>
      </c>
      <c r="BA20" s="114">
        <f t="shared" si="3"/>
        <v>65037.37</v>
      </c>
    </row>
    <row r="21" spans="1:53" s="160" customFormat="1" ht="14.25" x14ac:dyDescent="0.3">
      <c r="A21" s="177" t="s">
        <v>70</v>
      </c>
      <c r="B21" s="353"/>
      <c r="C21" s="105"/>
      <c r="D21" s="95"/>
      <c r="E21" s="96"/>
      <c r="F21" s="95"/>
      <c r="G21" s="96"/>
      <c r="H21" s="95"/>
      <c r="I21" s="96"/>
      <c r="J21" s="95"/>
      <c r="K21" s="96"/>
      <c r="L21" s="95"/>
      <c r="M21" s="96"/>
      <c r="N21" s="95"/>
      <c r="O21" s="106"/>
      <c r="P21" s="95"/>
      <c r="Q21" s="97"/>
      <c r="R21" s="95">
        <v>8.44</v>
      </c>
      <c r="S21" s="97">
        <v>181</v>
      </c>
      <c r="T21" s="123"/>
      <c r="U21" s="106"/>
      <c r="V21" s="95">
        <v>19033</v>
      </c>
      <c r="W21" s="97">
        <v>21844</v>
      </c>
      <c r="X21" s="123"/>
      <c r="Y21" s="97"/>
      <c r="Z21" s="992"/>
      <c r="AA21" s="993"/>
      <c r="AB21" s="95"/>
      <c r="AC21" s="97"/>
      <c r="AD21" s="123"/>
      <c r="AE21" s="97"/>
      <c r="AF21" s="95">
        <v>14410.09</v>
      </c>
      <c r="AG21" s="97">
        <v>16457</v>
      </c>
      <c r="AH21" s="95"/>
      <c r="AI21" s="97"/>
      <c r="AJ21" s="95"/>
      <c r="AK21" s="96"/>
      <c r="AL21" s="446"/>
      <c r="AM21" s="96"/>
      <c r="AN21" s="207">
        <v>15374.62</v>
      </c>
      <c r="AO21" s="204">
        <v>30867</v>
      </c>
      <c r="AP21" s="447"/>
      <c r="AQ21" s="110">
        <v>0.42</v>
      </c>
      <c r="AR21" s="111">
        <v>4421.58</v>
      </c>
      <c r="AS21" s="112">
        <v>4813</v>
      </c>
      <c r="AT21" s="95">
        <v>8220.7199999999993</v>
      </c>
      <c r="AU21" s="96">
        <v>12943</v>
      </c>
      <c r="AV21" s="113">
        <f t="shared" si="0"/>
        <v>61468.450000000004</v>
      </c>
      <c r="AW21" s="124">
        <f t="shared" si="1"/>
        <v>87105.42</v>
      </c>
      <c r="AX21" s="95">
        <v>1813.94</v>
      </c>
      <c r="AY21" s="96">
        <v>2872</v>
      </c>
      <c r="AZ21" s="113">
        <f t="shared" si="2"/>
        <v>63282.390000000007</v>
      </c>
      <c r="BA21" s="114">
        <f t="shared" si="3"/>
        <v>89977.42</v>
      </c>
    </row>
    <row r="22" spans="1:53" s="160" customFormat="1" ht="14.25" x14ac:dyDescent="0.3">
      <c r="A22" s="177" t="s">
        <v>71</v>
      </c>
      <c r="B22" s="353"/>
      <c r="C22" s="105"/>
      <c r="D22" s="95"/>
      <c r="E22" s="96"/>
      <c r="F22" s="95"/>
      <c r="G22" s="96"/>
      <c r="H22" s="95">
        <v>171.71</v>
      </c>
      <c r="I22" s="96">
        <v>120</v>
      </c>
      <c r="J22" s="95"/>
      <c r="K22" s="96"/>
      <c r="L22" s="95"/>
      <c r="M22" s="96"/>
      <c r="N22" s="95">
        <v>4</v>
      </c>
      <c r="O22" s="106">
        <v>6</v>
      </c>
      <c r="P22" s="95"/>
      <c r="Q22" s="97"/>
      <c r="R22" s="95">
        <v>146.01</v>
      </c>
      <c r="S22" s="97">
        <v>5</v>
      </c>
      <c r="T22" s="123"/>
      <c r="U22" s="106"/>
      <c r="V22" s="95">
        <v>15</v>
      </c>
      <c r="W22" s="97">
        <v>54</v>
      </c>
      <c r="X22" s="123">
        <v>21.94</v>
      </c>
      <c r="Y22" s="97">
        <v>53</v>
      </c>
      <c r="Z22" s="992"/>
      <c r="AA22" s="993"/>
      <c r="AB22" s="95"/>
      <c r="AC22" s="97"/>
      <c r="AD22" s="123">
        <v>279</v>
      </c>
      <c r="AE22" s="97">
        <v>550</v>
      </c>
      <c r="AF22" s="95"/>
      <c r="AG22" s="97"/>
      <c r="AH22" s="95"/>
      <c r="AI22" s="97"/>
      <c r="AJ22" s="95"/>
      <c r="AK22" s="96"/>
      <c r="AL22" s="446"/>
      <c r="AM22" s="96"/>
      <c r="AN22" s="95"/>
      <c r="AO22" s="96"/>
      <c r="AP22" s="447"/>
      <c r="AQ22" s="110"/>
      <c r="AR22" s="111"/>
      <c r="AS22" s="112"/>
      <c r="AT22" s="95">
        <v>8</v>
      </c>
      <c r="AU22" s="96">
        <v>8</v>
      </c>
      <c r="AV22" s="113">
        <f t="shared" si="0"/>
        <v>645.66000000000008</v>
      </c>
      <c r="AW22" s="124">
        <f t="shared" si="1"/>
        <v>796</v>
      </c>
      <c r="AX22" s="95"/>
      <c r="AY22" s="96">
        <v>403</v>
      </c>
      <c r="AZ22" s="113">
        <f t="shared" si="2"/>
        <v>645.66000000000008</v>
      </c>
      <c r="BA22" s="114">
        <f t="shared" si="3"/>
        <v>1199</v>
      </c>
    </row>
    <row r="23" spans="1:53" s="160" customFormat="1" ht="14.25" x14ac:dyDescent="0.3">
      <c r="A23" s="177" t="s">
        <v>15</v>
      </c>
      <c r="B23" s="88"/>
      <c r="C23" s="453"/>
      <c r="D23" s="113"/>
      <c r="E23" s="117"/>
      <c r="F23" s="113"/>
      <c r="G23" s="117"/>
      <c r="H23" s="113"/>
      <c r="I23" s="117"/>
      <c r="J23" s="113"/>
      <c r="K23" s="117"/>
      <c r="L23" s="113"/>
      <c r="M23" s="117"/>
      <c r="N23" s="113"/>
      <c r="O23" s="119"/>
      <c r="P23" s="113"/>
      <c r="Q23" s="118"/>
      <c r="R23" s="113"/>
      <c r="S23" s="118"/>
      <c r="T23" s="124"/>
      <c r="U23" s="119"/>
      <c r="V23" s="113"/>
      <c r="W23" s="118"/>
      <c r="X23" s="124"/>
      <c r="Y23" s="118"/>
      <c r="Z23" s="992"/>
      <c r="AA23" s="993"/>
      <c r="AB23" s="113">
        <v>15.66</v>
      </c>
      <c r="AC23" s="118">
        <v>30.94</v>
      </c>
      <c r="AD23" s="454"/>
      <c r="AE23" s="1209"/>
      <c r="AF23" s="113"/>
      <c r="AG23" s="118"/>
      <c r="AH23" s="113"/>
      <c r="AI23" s="118"/>
      <c r="AJ23" s="113"/>
      <c r="AK23" s="117"/>
      <c r="AL23" s="446"/>
      <c r="AM23" s="96"/>
      <c r="AN23" s="207"/>
      <c r="AO23" s="204"/>
      <c r="AP23" s="447"/>
      <c r="AQ23" s="110"/>
      <c r="AR23" s="111"/>
      <c r="AS23" s="112"/>
      <c r="AT23" s="113"/>
      <c r="AU23" s="117"/>
      <c r="AV23" s="113">
        <f t="shared" si="0"/>
        <v>15.66</v>
      </c>
      <c r="AW23" s="124">
        <f t="shared" si="1"/>
        <v>30.94</v>
      </c>
      <c r="AX23" s="113"/>
      <c r="AY23" s="117"/>
      <c r="AZ23" s="113">
        <f t="shared" si="2"/>
        <v>15.66</v>
      </c>
      <c r="BA23" s="114">
        <f t="shared" si="3"/>
        <v>30.94</v>
      </c>
    </row>
    <row r="24" spans="1:53" s="160" customFormat="1" ht="14.25" x14ac:dyDescent="0.3">
      <c r="A24" s="177" t="s">
        <v>17</v>
      </c>
      <c r="B24" s="353"/>
      <c r="C24" s="105"/>
      <c r="D24" s="95"/>
      <c r="E24" s="96"/>
      <c r="F24" s="95">
        <v>23</v>
      </c>
      <c r="G24" s="96">
        <v>32</v>
      </c>
      <c r="H24" s="95"/>
      <c r="I24" s="96"/>
      <c r="J24" s="95"/>
      <c r="K24" s="96"/>
      <c r="L24" s="95"/>
      <c r="M24" s="96"/>
      <c r="N24" s="95"/>
      <c r="O24" s="106"/>
      <c r="P24" s="95"/>
      <c r="Q24" s="97"/>
      <c r="R24" s="95"/>
      <c r="S24" s="97"/>
      <c r="T24" s="123">
        <v>43</v>
      </c>
      <c r="U24" s="106">
        <v>35</v>
      </c>
      <c r="V24" s="95">
        <v>16.57</v>
      </c>
      <c r="W24" s="97">
        <v>21</v>
      </c>
      <c r="X24" s="123">
        <v>86.93</v>
      </c>
      <c r="Y24" s="97">
        <v>85</v>
      </c>
      <c r="Z24" s="992"/>
      <c r="AA24" s="993"/>
      <c r="AB24" s="95"/>
      <c r="AC24" s="97"/>
      <c r="AD24" s="123"/>
      <c r="AE24" s="97"/>
      <c r="AF24" s="95">
        <v>123</v>
      </c>
      <c r="AG24" s="97">
        <v>162</v>
      </c>
      <c r="AH24" s="95">
        <v>215</v>
      </c>
      <c r="AI24" s="97">
        <v>280</v>
      </c>
      <c r="AJ24" s="95"/>
      <c r="AK24" s="96"/>
      <c r="AL24" s="446"/>
      <c r="AM24" s="96"/>
      <c r="AN24" s="207"/>
      <c r="AO24" s="204"/>
      <c r="AP24" s="447"/>
      <c r="AQ24" s="110"/>
      <c r="AR24" s="111"/>
      <c r="AS24" s="112"/>
      <c r="AT24" s="95"/>
      <c r="AU24" s="96"/>
      <c r="AV24" s="113">
        <f t="shared" si="0"/>
        <v>507.5</v>
      </c>
      <c r="AW24" s="124">
        <f t="shared" si="1"/>
        <v>615</v>
      </c>
      <c r="AX24" s="111">
        <v>137.19</v>
      </c>
      <c r="AY24" s="112">
        <v>559</v>
      </c>
      <c r="AZ24" s="113">
        <f t="shared" si="2"/>
        <v>644.69000000000005</v>
      </c>
      <c r="BA24" s="114">
        <f t="shared" si="3"/>
        <v>1174</v>
      </c>
    </row>
    <row r="25" spans="1:53" s="160" customFormat="1" ht="14.25" x14ac:dyDescent="0.3">
      <c r="A25" s="177" t="s">
        <v>72</v>
      </c>
      <c r="B25" s="353">
        <v>12</v>
      </c>
      <c r="C25" s="105">
        <v>2</v>
      </c>
      <c r="D25" s="95">
        <v>52</v>
      </c>
      <c r="E25" s="96">
        <v>11</v>
      </c>
      <c r="F25" s="95"/>
      <c r="G25" s="96"/>
      <c r="H25" s="95"/>
      <c r="I25" s="96"/>
      <c r="J25" s="95">
        <v>2.38</v>
      </c>
      <c r="K25" s="96"/>
      <c r="L25" s="95">
        <v>44</v>
      </c>
      <c r="M25" s="96">
        <v>2</v>
      </c>
      <c r="N25" s="95"/>
      <c r="O25" s="106"/>
      <c r="P25" s="95">
        <v>1.03</v>
      </c>
      <c r="Q25" s="97"/>
      <c r="R25" s="95"/>
      <c r="S25" s="97"/>
      <c r="T25" s="123"/>
      <c r="U25" s="106"/>
      <c r="V25" s="95">
        <v>372.75</v>
      </c>
      <c r="W25" s="97">
        <v>36</v>
      </c>
      <c r="X25" s="123">
        <v>329.65</v>
      </c>
      <c r="Y25" s="97">
        <v>56</v>
      </c>
      <c r="Z25" s="992"/>
      <c r="AA25" s="993"/>
      <c r="AB25" s="95">
        <v>0.11</v>
      </c>
      <c r="AC25" s="97"/>
      <c r="AD25" s="123">
        <v>1</v>
      </c>
      <c r="AE25" s="97"/>
      <c r="AF25" s="95">
        <v>1085</v>
      </c>
      <c r="AG25" s="97">
        <v>161</v>
      </c>
      <c r="AH25" s="95">
        <v>246</v>
      </c>
      <c r="AI25" s="97">
        <v>16</v>
      </c>
      <c r="AJ25" s="95">
        <v>0.62</v>
      </c>
      <c r="AK25" s="96"/>
      <c r="AL25" s="446"/>
      <c r="AM25" s="96"/>
      <c r="AN25" s="207">
        <v>11.61</v>
      </c>
      <c r="AO25" s="204"/>
      <c r="AP25" s="447">
        <v>0.03</v>
      </c>
      <c r="AQ25" s="110"/>
      <c r="AR25" s="111"/>
      <c r="AS25" s="112"/>
      <c r="AT25" s="95">
        <v>828.73</v>
      </c>
      <c r="AU25" s="96">
        <v>104</v>
      </c>
      <c r="AV25" s="113">
        <f t="shared" si="0"/>
        <v>2986.9100000000003</v>
      </c>
      <c r="AW25" s="124">
        <f t="shared" si="1"/>
        <v>388</v>
      </c>
      <c r="AX25" s="111"/>
      <c r="AY25" s="112"/>
      <c r="AZ25" s="113">
        <f t="shared" si="2"/>
        <v>2986.9100000000003</v>
      </c>
      <c r="BA25" s="114">
        <f t="shared" si="3"/>
        <v>388</v>
      </c>
    </row>
    <row r="26" spans="1:53" s="160" customFormat="1" ht="14.25" x14ac:dyDescent="0.3">
      <c r="A26" s="177" t="s">
        <v>73</v>
      </c>
      <c r="B26" s="456"/>
      <c r="C26" s="457"/>
      <c r="D26" s="139"/>
      <c r="E26" s="136"/>
      <c r="F26" s="139">
        <v>1</v>
      </c>
      <c r="G26" s="136"/>
      <c r="H26" s="139"/>
      <c r="I26" s="136"/>
      <c r="J26" s="139"/>
      <c r="K26" s="136"/>
      <c r="L26" s="139"/>
      <c r="M26" s="136"/>
      <c r="N26" s="139"/>
      <c r="O26" s="140"/>
      <c r="P26" s="139"/>
      <c r="Q26" s="134"/>
      <c r="R26" s="139"/>
      <c r="S26" s="134"/>
      <c r="T26" s="135"/>
      <c r="U26" s="140"/>
      <c r="V26" s="139"/>
      <c r="W26" s="134"/>
      <c r="X26" s="135"/>
      <c r="Y26" s="134"/>
      <c r="Z26" s="995"/>
      <c r="AA26" s="996"/>
      <c r="AB26" s="139"/>
      <c r="AC26" s="134"/>
      <c r="AD26" s="135">
        <v>0.12</v>
      </c>
      <c r="AE26" s="134"/>
      <c r="AF26" s="139"/>
      <c r="AG26" s="134"/>
      <c r="AH26" s="139"/>
      <c r="AI26" s="134"/>
      <c r="AJ26" s="139"/>
      <c r="AK26" s="136"/>
      <c r="AL26" s="458"/>
      <c r="AM26" s="136"/>
      <c r="AN26" s="459"/>
      <c r="AO26" s="460"/>
      <c r="AP26" s="462"/>
      <c r="AQ26" s="144"/>
      <c r="AR26" s="145"/>
      <c r="AS26" s="146"/>
      <c r="AT26" s="139"/>
      <c r="AU26" s="136"/>
      <c r="AV26" s="113">
        <f t="shared" si="0"/>
        <v>1.1200000000000001</v>
      </c>
      <c r="AW26" s="124">
        <f t="shared" si="1"/>
        <v>0</v>
      </c>
      <c r="AX26" s="145"/>
      <c r="AY26" s="146"/>
      <c r="AZ26" s="113">
        <f t="shared" si="2"/>
        <v>1.1200000000000001</v>
      </c>
      <c r="BA26" s="114">
        <f t="shared" si="3"/>
        <v>0</v>
      </c>
    </row>
    <row r="27" spans="1:53" s="160" customFormat="1" ht="14.25" x14ac:dyDescent="0.3">
      <c r="A27" s="461" t="s">
        <v>16</v>
      </c>
      <c r="B27" s="456">
        <v>4</v>
      </c>
      <c r="C27" s="457">
        <v>39</v>
      </c>
      <c r="D27" s="139"/>
      <c r="E27" s="135"/>
      <c r="F27" s="139"/>
      <c r="G27" s="135"/>
      <c r="H27" s="139">
        <v>62</v>
      </c>
      <c r="I27" s="135">
        <v>177</v>
      </c>
      <c r="J27" s="139"/>
      <c r="K27" s="136"/>
      <c r="L27" s="139">
        <v>66</v>
      </c>
      <c r="M27" s="136">
        <v>50</v>
      </c>
      <c r="N27" s="139"/>
      <c r="O27" s="140"/>
      <c r="P27" s="139"/>
      <c r="Q27" s="134"/>
      <c r="R27" s="139">
        <v>45.26</v>
      </c>
      <c r="S27" s="134">
        <v>19</v>
      </c>
      <c r="T27" s="135"/>
      <c r="U27" s="140"/>
      <c r="V27" s="139">
        <v>27</v>
      </c>
      <c r="W27" s="134">
        <v>135</v>
      </c>
      <c r="X27" s="135"/>
      <c r="Y27" s="134"/>
      <c r="Z27" s="995"/>
      <c r="AA27" s="996"/>
      <c r="AB27" s="139"/>
      <c r="AC27" s="134"/>
      <c r="AD27" s="135">
        <v>16</v>
      </c>
      <c r="AE27" s="134"/>
      <c r="AF27" s="139"/>
      <c r="AG27" s="134"/>
      <c r="AH27" s="139"/>
      <c r="AI27" s="134">
        <v>3</v>
      </c>
      <c r="AJ27" s="139"/>
      <c r="AK27" s="136"/>
      <c r="AL27" s="458"/>
      <c r="AM27" s="136"/>
      <c r="AN27" s="459"/>
      <c r="AO27" s="460">
        <v>11</v>
      </c>
      <c r="AP27" s="462"/>
      <c r="AQ27" s="144"/>
      <c r="AR27" s="145"/>
      <c r="AS27" s="146"/>
      <c r="AT27" s="139"/>
      <c r="AU27" s="136"/>
      <c r="AV27" s="147"/>
      <c r="AW27" s="148"/>
      <c r="AX27" s="145"/>
      <c r="AY27" s="146">
        <v>1.6</v>
      </c>
      <c r="AZ27" s="113">
        <f t="shared" si="2"/>
        <v>0</v>
      </c>
      <c r="BA27" s="114">
        <f t="shared" si="3"/>
        <v>1.6</v>
      </c>
    </row>
    <row r="28" spans="1:53" s="160" customFormat="1" ht="15" thickBot="1" x14ac:dyDescent="0.35">
      <c r="A28" s="461" t="s">
        <v>74</v>
      </c>
      <c r="B28" s="456"/>
      <c r="C28" s="457"/>
      <c r="D28" s="139"/>
      <c r="E28" s="135"/>
      <c r="F28" s="139"/>
      <c r="G28" s="135"/>
      <c r="H28" s="139"/>
      <c r="I28" s="135"/>
      <c r="J28" s="139"/>
      <c r="K28" s="136"/>
      <c r="L28" s="139"/>
      <c r="M28" s="136"/>
      <c r="N28" s="139"/>
      <c r="O28" s="140"/>
      <c r="P28" s="139"/>
      <c r="Q28" s="134"/>
      <c r="R28" s="139"/>
      <c r="S28" s="134"/>
      <c r="T28" s="135"/>
      <c r="U28" s="140"/>
      <c r="V28" s="139"/>
      <c r="W28" s="134"/>
      <c r="X28" s="135"/>
      <c r="Y28" s="134"/>
      <c r="Z28" s="995"/>
      <c r="AA28" s="996"/>
      <c r="AB28" s="139"/>
      <c r="AC28" s="134"/>
      <c r="AD28" s="135"/>
      <c r="AE28" s="134"/>
      <c r="AF28" s="139"/>
      <c r="AG28" s="134"/>
      <c r="AH28" s="139"/>
      <c r="AI28" s="134"/>
      <c r="AJ28" s="139"/>
      <c r="AK28" s="136"/>
      <c r="AL28" s="458"/>
      <c r="AM28" s="136"/>
      <c r="AN28" s="459"/>
      <c r="AO28" s="460"/>
      <c r="AP28" s="462"/>
      <c r="AQ28" s="144"/>
      <c r="AR28" s="145"/>
      <c r="AS28" s="146"/>
      <c r="AT28" s="139"/>
      <c r="AU28" s="136"/>
      <c r="AV28" s="147">
        <f>SUM(B28+D28+F28+H28+J28+L28+N28+P28+R28+T28+V28+X28+Z28+AB28+AD28+AF28+AH28+AJ28+AL28+AN28+AP28+AR28+AT28)</f>
        <v>0</v>
      </c>
      <c r="AW28" s="148">
        <f>SUM(C28+E28+G28+I28+K28+M28+O28+Q28+S28+U28+W28+Y28+AA28+AC28+AE28+AG28+AI28+AK28+AM28+AO28+AQ28+AS28+AU28)</f>
        <v>0</v>
      </c>
      <c r="AX28" s="145"/>
      <c r="AY28" s="146"/>
      <c r="AZ28" s="147">
        <f>AV28+AX28</f>
        <v>0</v>
      </c>
      <c r="BA28" s="464">
        <f>AW28+AY28</f>
        <v>0</v>
      </c>
    </row>
    <row r="29" spans="1:53" s="463" customFormat="1" ht="15" thickBot="1" x14ac:dyDescent="0.35">
      <c r="A29" s="475" t="s">
        <v>54</v>
      </c>
      <c r="B29" s="465">
        <f>SUM(B18:B28)</f>
        <v>9444</v>
      </c>
      <c r="C29" s="465">
        <f>SUM(C18:C28)</f>
        <v>11447</v>
      </c>
      <c r="D29" s="465">
        <f>SUM(D18:D28)</f>
        <v>123</v>
      </c>
      <c r="E29" s="465">
        <f>SUM(E18:E28)</f>
        <v>26</v>
      </c>
      <c r="F29" s="465">
        <f>SUM(F18:F26)</f>
        <v>480</v>
      </c>
      <c r="G29" s="465">
        <f>SUM(G18:G28)</f>
        <v>417</v>
      </c>
      <c r="H29" s="465">
        <f>SUM(H18:H28)</f>
        <v>10859.89</v>
      </c>
      <c r="I29" s="465">
        <f>SUM(I18:I28)</f>
        <v>19627</v>
      </c>
      <c r="J29" s="465">
        <f t="shared" ref="J29:AO29" si="7">SUM(J18:J28)</f>
        <v>2738.26</v>
      </c>
      <c r="K29" s="465">
        <f>SUM(K18:K28)</f>
        <v>3376</v>
      </c>
      <c r="L29" s="465">
        <f t="shared" si="7"/>
        <v>3651</v>
      </c>
      <c r="M29" s="465">
        <f>SUM(M18:M28)</f>
        <v>5969</v>
      </c>
      <c r="N29" s="465">
        <f>SUM(N18:N28)</f>
        <v>615</v>
      </c>
      <c r="O29" s="466">
        <f>SUM(O18:O28)</f>
        <v>991</v>
      </c>
      <c r="P29" s="465">
        <f>SUM(P18:P28)</f>
        <v>1513.28</v>
      </c>
      <c r="Q29" s="467">
        <f>SUM(Q18:Q28)</f>
        <v>1795</v>
      </c>
      <c r="R29" s="465">
        <f t="shared" si="7"/>
        <v>3910.4000000000005</v>
      </c>
      <c r="S29" s="467">
        <f>SUM(S18:S28)</f>
        <v>3459</v>
      </c>
      <c r="T29" s="468">
        <f t="shared" si="7"/>
        <v>481</v>
      </c>
      <c r="U29" s="466">
        <f>SUM(U18:U28)</f>
        <v>881</v>
      </c>
      <c r="V29" s="465">
        <f t="shared" si="7"/>
        <v>30225.05</v>
      </c>
      <c r="W29" s="467">
        <f>SUM(W18:W28)</f>
        <v>36586</v>
      </c>
      <c r="X29" s="468">
        <f t="shared" si="7"/>
        <v>25715.19</v>
      </c>
      <c r="Y29" s="467">
        <f>SUM(Y18:Y28)</f>
        <v>30591</v>
      </c>
      <c r="Z29" s="465">
        <f t="shared" si="7"/>
        <v>995.38</v>
      </c>
      <c r="AA29" s="467">
        <f>SUM(AA18:AA28)</f>
        <v>1416</v>
      </c>
      <c r="AB29" s="465">
        <f t="shared" si="7"/>
        <v>2992.57</v>
      </c>
      <c r="AC29" s="467">
        <f>SUM(AC18:AC28)</f>
        <v>5190.12</v>
      </c>
      <c r="AD29" s="468">
        <f t="shared" si="7"/>
        <v>6285.12</v>
      </c>
      <c r="AE29" s="467">
        <f>SUM(AE18:AE28)</f>
        <v>9794</v>
      </c>
      <c r="AF29" s="465">
        <f t="shared" si="7"/>
        <v>20876.560000000001</v>
      </c>
      <c r="AG29" s="467">
        <f t="shared" si="7"/>
        <v>24746</v>
      </c>
      <c r="AH29" s="465">
        <f t="shared" si="7"/>
        <v>5876.46</v>
      </c>
      <c r="AI29" s="467">
        <f t="shared" si="7"/>
        <v>7742</v>
      </c>
      <c r="AJ29" s="465">
        <f t="shared" si="7"/>
        <v>2702.06</v>
      </c>
      <c r="AK29" s="465">
        <f t="shared" si="7"/>
        <v>3576</v>
      </c>
      <c r="AL29" s="465">
        <f t="shared" si="7"/>
        <v>0</v>
      </c>
      <c r="AM29" s="465">
        <f t="shared" si="7"/>
        <v>0</v>
      </c>
      <c r="AN29" s="465">
        <f t="shared" si="7"/>
        <v>26988.57</v>
      </c>
      <c r="AO29" s="465">
        <f t="shared" si="7"/>
        <v>52760</v>
      </c>
      <c r="AP29" s="470">
        <f t="shared" ref="AP29:AU29" si="8">SUM(AP18:AP28)</f>
        <v>1966.05</v>
      </c>
      <c r="AQ29" s="469">
        <f t="shared" si="8"/>
        <v>2313.02</v>
      </c>
      <c r="AR29" s="470">
        <f t="shared" si="8"/>
        <v>4434.51</v>
      </c>
      <c r="AS29" s="469">
        <f t="shared" si="8"/>
        <v>4836</v>
      </c>
      <c r="AT29" s="470">
        <f t="shared" si="8"/>
        <v>17394.45</v>
      </c>
      <c r="AU29" s="469">
        <f t="shared" si="8"/>
        <v>29131</v>
      </c>
      <c r="AV29" s="470">
        <f>SUM(B29+D29+F29+H29+J29+L29+N29+P29+R29+T29+V29+X29+Z29+AB29+AD29+AF29+AH29+AJ29+AL29+AN29+AP29+AR29+AT29)</f>
        <v>180267.80000000002</v>
      </c>
      <c r="AW29" s="471">
        <f>SUM(C29+E29+G29+I29+K29+M29+O29+Q29+S29+U29+W29+Y29+AA29+AC29+AE29+AG29+AI29+AK29+AM29+AO29+AQ29+AS29+AU29)</f>
        <v>256669.13999999998</v>
      </c>
      <c r="AX29" s="472">
        <f>SUM(AX18:AX28)</f>
        <v>418766.94</v>
      </c>
      <c r="AY29" s="473">
        <f>SUM(AY18:AY28)</f>
        <v>502536.6</v>
      </c>
      <c r="AZ29" s="470">
        <f>AV29+AX29</f>
        <v>599034.74</v>
      </c>
      <c r="BA29" s="474">
        <f>AW29+AY29</f>
        <v>759205.74</v>
      </c>
    </row>
  </sheetData>
  <mergeCells count="29">
    <mergeCell ref="Z3:AA3"/>
    <mergeCell ref="N3:O3"/>
    <mergeCell ref="A1:BA1"/>
    <mergeCell ref="A2:BA2"/>
    <mergeCell ref="A3:A4"/>
    <mergeCell ref="D3:E3"/>
    <mergeCell ref="F3:G3"/>
    <mergeCell ref="B3:C3"/>
    <mergeCell ref="H3:I3"/>
    <mergeCell ref="J3:K3"/>
    <mergeCell ref="L3:M3"/>
    <mergeCell ref="P3:Q3"/>
    <mergeCell ref="R3:S3"/>
    <mergeCell ref="T3:U3"/>
    <mergeCell ref="V3:W3"/>
    <mergeCell ref="X3:Y3"/>
    <mergeCell ref="AB3:AC3"/>
    <mergeCell ref="AF3:AG3"/>
    <mergeCell ref="AD3:AE3"/>
    <mergeCell ref="AL3:AM3"/>
    <mergeCell ref="AJ3:AK3"/>
    <mergeCell ref="AH3:AI3"/>
    <mergeCell ref="AZ3:BA3"/>
    <mergeCell ref="AN3:AO3"/>
    <mergeCell ref="AP3:AQ3"/>
    <mergeCell ref="AR3:AS3"/>
    <mergeCell ref="AT3:AU3"/>
    <mergeCell ref="AV3:AW3"/>
    <mergeCell ref="AX3:AY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BA40"/>
  <sheetViews>
    <sheetView workbookViewId="0">
      <pane xSplit="1" topLeftCell="B1" activePane="topRight" state="frozen"/>
      <selection pane="topRight" activeCell="BC5" sqref="BC5"/>
    </sheetView>
  </sheetViews>
  <sheetFormatPr defaultRowHeight="16.5" x14ac:dyDescent="0.3"/>
  <cols>
    <col min="1" max="1" width="22" style="120" customWidth="1"/>
    <col min="2" max="15" width="11.42578125" style="120" bestFit="1" customWidth="1"/>
    <col min="16" max="16" width="9.28515625" style="120" customWidth="1"/>
    <col min="17" max="49" width="11.42578125" style="120" bestFit="1" customWidth="1"/>
    <col min="50" max="51" width="11.5703125" style="120" bestFit="1" customWidth="1"/>
    <col min="52" max="53" width="11.42578125" style="120" bestFit="1" customWidth="1"/>
    <col min="54" max="16384" width="9.140625" style="120"/>
  </cols>
  <sheetData>
    <row r="1" spans="1:53" ht="18" x14ac:dyDescent="0.35">
      <c r="A1" s="1340" t="s">
        <v>156</v>
      </c>
      <c r="B1" s="1340"/>
      <c r="C1" s="1340"/>
      <c r="D1" s="1340"/>
      <c r="E1" s="1340"/>
      <c r="F1" s="1340"/>
      <c r="G1" s="1340"/>
      <c r="H1" s="1340"/>
      <c r="I1" s="1340"/>
      <c r="J1" s="1340"/>
      <c r="K1" s="1340"/>
      <c r="L1" s="1340"/>
      <c r="M1" s="1340"/>
      <c r="N1" s="1340"/>
      <c r="O1" s="1340"/>
      <c r="P1" s="1340"/>
      <c r="Q1" s="1340"/>
      <c r="R1" s="1340"/>
      <c r="S1" s="1340"/>
      <c r="T1" s="1340"/>
      <c r="U1" s="1340"/>
      <c r="V1" s="1340"/>
      <c r="W1" s="1340"/>
      <c r="X1" s="1340"/>
      <c r="Y1" s="1340"/>
      <c r="Z1" s="1340"/>
      <c r="AA1" s="1340"/>
      <c r="AB1" s="1340"/>
      <c r="AC1" s="1340"/>
      <c r="AD1" s="1340"/>
      <c r="AE1" s="1340"/>
      <c r="AF1" s="1340"/>
      <c r="AG1" s="1340"/>
      <c r="AH1" s="1340"/>
      <c r="AI1" s="1340"/>
      <c r="AJ1" s="1340"/>
      <c r="AK1" s="1340"/>
      <c r="AL1" s="1340"/>
      <c r="AM1" s="1340"/>
      <c r="AN1" s="1340"/>
      <c r="AO1" s="1340"/>
      <c r="AP1" s="1340"/>
      <c r="AQ1" s="1340"/>
      <c r="AR1" s="1340"/>
      <c r="AS1" s="1340"/>
      <c r="AT1" s="1340"/>
      <c r="AU1" s="1340"/>
      <c r="AV1" s="1340"/>
      <c r="AW1" s="1340"/>
      <c r="AX1" s="1340"/>
      <c r="AY1" s="1340"/>
      <c r="AZ1" s="1340"/>
      <c r="BA1" s="1340"/>
    </row>
    <row r="2" spans="1:53" s="476" customFormat="1" ht="18.75" thickBot="1" x14ac:dyDescent="0.4">
      <c r="A2" s="1337" t="s">
        <v>395</v>
      </c>
      <c r="B2" s="1337"/>
      <c r="C2" s="1337"/>
      <c r="D2" s="1337"/>
      <c r="E2" s="1337"/>
      <c r="F2" s="1337"/>
      <c r="G2" s="1337"/>
      <c r="H2" s="1337"/>
      <c r="I2" s="1337"/>
      <c r="J2" s="1337"/>
      <c r="K2" s="1337"/>
      <c r="L2" s="1337"/>
      <c r="M2" s="1337"/>
      <c r="N2" s="1337"/>
      <c r="O2" s="1337"/>
      <c r="P2" s="1337"/>
      <c r="Q2" s="1337"/>
      <c r="R2" s="1337"/>
      <c r="S2" s="1337"/>
      <c r="T2" s="1337"/>
      <c r="U2" s="1337"/>
      <c r="V2" s="1337"/>
      <c r="W2" s="1337"/>
      <c r="X2" s="1337"/>
      <c r="Y2" s="1337"/>
      <c r="Z2" s="1337"/>
      <c r="AA2" s="1337"/>
      <c r="AB2" s="1337"/>
      <c r="AC2" s="1337"/>
      <c r="AD2" s="1337"/>
      <c r="AE2" s="1337"/>
      <c r="AF2" s="1337"/>
      <c r="AG2" s="1337"/>
      <c r="AH2" s="1337"/>
      <c r="AI2" s="1337"/>
      <c r="AJ2" s="1337"/>
      <c r="AK2" s="1337"/>
      <c r="AL2" s="1337"/>
      <c r="AM2" s="1337"/>
      <c r="AN2" s="1337"/>
      <c r="AO2" s="1337"/>
      <c r="AP2" s="1337"/>
      <c r="AQ2" s="1337"/>
      <c r="AR2" s="1337"/>
      <c r="AS2" s="1337"/>
      <c r="AT2" s="1337"/>
      <c r="AU2" s="1337"/>
      <c r="AV2" s="1337"/>
      <c r="AW2" s="1337"/>
      <c r="AX2" s="1337"/>
      <c r="AY2" s="1337"/>
      <c r="AZ2" s="1337"/>
      <c r="BA2" s="1337"/>
    </row>
    <row r="3" spans="1:53" s="712" customFormat="1" ht="48.75" customHeight="1" thickBot="1" x14ac:dyDescent="0.3">
      <c r="A3" s="1341" t="s">
        <v>0</v>
      </c>
      <c r="B3" s="1295" t="s">
        <v>159</v>
      </c>
      <c r="C3" s="1335"/>
      <c r="D3" s="1295" t="s">
        <v>160</v>
      </c>
      <c r="E3" s="1296"/>
      <c r="F3" s="1335" t="s">
        <v>161</v>
      </c>
      <c r="G3" s="1296"/>
      <c r="H3" s="1335" t="s">
        <v>162</v>
      </c>
      <c r="I3" s="1296"/>
      <c r="J3" s="1295" t="s">
        <v>163</v>
      </c>
      <c r="K3" s="1335"/>
      <c r="L3" s="1295" t="s">
        <v>164</v>
      </c>
      <c r="M3" s="1296"/>
      <c r="N3" s="1295" t="s">
        <v>315</v>
      </c>
      <c r="O3" s="1335"/>
      <c r="P3" s="1295" t="s">
        <v>165</v>
      </c>
      <c r="Q3" s="1296"/>
      <c r="R3" s="1335" t="s">
        <v>166</v>
      </c>
      <c r="S3" s="1335"/>
      <c r="T3" s="1295" t="s">
        <v>167</v>
      </c>
      <c r="U3" s="1296"/>
      <c r="V3" s="1335" t="s">
        <v>168</v>
      </c>
      <c r="W3" s="1296"/>
      <c r="X3" s="1295" t="s">
        <v>169</v>
      </c>
      <c r="Y3" s="1335"/>
      <c r="Z3" s="1295" t="s">
        <v>325</v>
      </c>
      <c r="AA3" s="1296"/>
      <c r="AB3" s="1335" t="s">
        <v>170</v>
      </c>
      <c r="AC3" s="1296"/>
      <c r="AD3" s="1335" t="s">
        <v>171</v>
      </c>
      <c r="AE3" s="1296"/>
      <c r="AF3" s="1335" t="s">
        <v>172</v>
      </c>
      <c r="AG3" s="1296"/>
      <c r="AH3" s="1335" t="s">
        <v>173</v>
      </c>
      <c r="AI3" s="1296"/>
      <c r="AJ3" s="1295" t="s">
        <v>174</v>
      </c>
      <c r="AK3" s="1335"/>
      <c r="AL3" s="1295" t="s">
        <v>175</v>
      </c>
      <c r="AM3" s="1296"/>
      <c r="AN3" s="1335" t="s">
        <v>176</v>
      </c>
      <c r="AO3" s="1296"/>
      <c r="AP3" s="1335" t="s">
        <v>177</v>
      </c>
      <c r="AQ3" s="1296"/>
      <c r="AR3" s="1335" t="s">
        <v>178</v>
      </c>
      <c r="AS3" s="1296"/>
      <c r="AT3" s="1295" t="s">
        <v>179</v>
      </c>
      <c r="AU3" s="1335"/>
      <c r="AV3" s="1295" t="s">
        <v>1</v>
      </c>
      <c r="AW3" s="1296"/>
      <c r="AX3" s="1335" t="s">
        <v>180</v>
      </c>
      <c r="AY3" s="1296"/>
      <c r="AZ3" s="1335" t="s">
        <v>2</v>
      </c>
      <c r="BA3" s="1296"/>
    </row>
    <row r="4" spans="1:53" s="477" customFormat="1" ht="15" customHeight="1" thickBot="1" x14ac:dyDescent="0.35">
      <c r="A4" s="1342"/>
      <c r="B4" s="525" t="s">
        <v>321</v>
      </c>
      <c r="C4" s="496" t="s">
        <v>383</v>
      </c>
      <c r="D4" s="525" t="s">
        <v>321</v>
      </c>
      <c r="E4" s="496" t="s">
        <v>383</v>
      </c>
      <c r="F4" s="525" t="s">
        <v>321</v>
      </c>
      <c r="G4" s="496" t="s">
        <v>383</v>
      </c>
      <c r="H4" s="525" t="s">
        <v>321</v>
      </c>
      <c r="I4" s="496" t="s">
        <v>383</v>
      </c>
      <c r="J4" s="525" t="s">
        <v>321</v>
      </c>
      <c r="K4" s="496" t="s">
        <v>383</v>
      </c>
      <c r="L4" s="525" t="s">
        <v>321</v>
      </c>
      <c r="M4" s="496" t="s">
        <v>383</v>
      </c>
      <c r="N4" s="525" t="s">
        <v>321</v>
      </c>
      <c r="O4" s="496" t="s">
        <v>383</v>
      </c>
      <c r="P4" s="525" t="s">
        <v>321</v>
      </c>
      <c r="Q4" s="496" t="s">
        <v>383</v>
      </c>
      <c r="R4" s="525" t="s">
        <v>321</v>
      </c>
      <c r="S4" s="496" t="s">
        <v>383</v>
      </c>
      <c r="T4" s="525" t="s">
        <v>321</v>
      </c>
      <c r="U4" s="496" t="s">
        <v>383</v>
      </c>
      <c r="V4" s="525" t="s">
        <v>321</v>
      </c>
      <c r="W4" s="496" t="s">
        <v>383</v>
      </c>
      <c r="X4" s="525" t="s">
        <v>321</v>
      </c>
      <c r="Y4" s="496" t="s">
        <v>383</v>
      </c>
      <c r="Z4" s="525" t="s">
        <v>321</v>
      </c>
      <c r="AA4" s="496" t="s">
        <v>383</v>
      </c>
      <c r="AB4" s="525" t="s">
        <v>321</v>
      </c>
      <c r="AC4" s="496" t="s">
        <v>383</v>
      </c>
      <c r="AD4" s="525" t="s">
        <v>321</v>
      </c>
      <c r="AE4" s="496" t="s">
        <v>383</v>
      </c>
      <c r="AF4" s="525" t="s">
        <v>321</v>
      </c>
      <c r="AG4" s="496" t="s">
        <v>383</v>
      </c>
      <c r="AH4" s="525" t="s">
        <v>321</v>
      </c>
      <c r="AI4" s="496" t="s">
        <v>383</v>
      </c>
      <c r="AJ4" s="525" t="s">
        <v>321</v>
      </c>
      <c r="AK4" s="496" t="s">
        <v>383</v>
      </c>
      <c r="AL4" s="525" t="s">
        <v>321</v>
      </c>
      <c r="AM4" s="496" t="s">
        <v>383</v>
      </c>
      <c r="AN4" s="525" t="s">
        <v>321</v>
      </c>
      <c r="AO4" s="496" t="s">
        <v>383</v>
      </c>
      <c r="AP4" s="525" t="s">
        <v>321</v>
      </c>
      <c r="AQ4" s="496" t="s">
        <v>383</v>
      </c>
      <c r="AR4" s="525" t="s">
        <v>321</v>
      </c>
      <c r="AS4" s="496" t="s">
        <v>383</v>
      </c>
      <c r="AT4" s="525" t="s">
        <v>321</v>
      </c>
      <c r="AU4" s="496" t="s">
        <v>383</v>
      </c>
      <c r="AV4" s="525" t="s">
        <v>321</v>
      </c>
      <c r="AW4" s="496" t="s">
        <v>383</v>
      </c>
      <c r="AX4" s="525" t="s">
        <v>321</v>
      </c>
      <c r="AY4" s="496" t="s">
        <v>383</v>
      </c>
      <c r="AZ4" s="525" t="s">
        <v>321</v>
      </c>
      <c r="BA4" s="478" t="s">
        <v>383</v>
      </c>
    </row>
    <row r="5" spans="1:53" ht="15" customHeight="1" x14ac:dyDescent="0.3">
      <c r="A5" s="603" t="s">
        <v>75</v>
      </c>
      <c r="B5" s="593">
        <v>1575054</v>
      </c>
      <c r="C5" s="866"/>
      <c r="D5" s="593">
        <v>1900.79</v>
      </c>
      <c r="E5" s="594">
        <v>1723</v>
      </c>
      <c r="F5" s="181">
        <v>3818</v>
      </c>
      <c r="G5" s="594">
        <v>3717</v>
      </c>
      <c r="H5" s="595">
        <v>35764</v>
      </c>
      <c r="I5" s="594">
        <v>49742</v>
      </c>
      <c r="J5" s="595">
        <v>10320.68</v>
      </c>
      <c r="K5" s="866">
        <v>12146</v>
      </c>
      <c r="L5" s="593">
        <v>9340</v>
      </c>
      <c r="M5" s="594">
        <v>10701</v>
      </c>
      <c r="N5" s="595">
        <v>4220</v>
      </c>
      <c r="O5" s="866">
        <v>4357</v>
      </c>
      <c r="P5" s="593">
        <v>6080.46</v>
      </c>
      <c r="Q5" s="594">
        <v>6806</v>
      </c>
      <c r="R5" s="595">
        <v>7328</v>
      </c>
      <c r="S5" s="866">
        <v>7735</v>
      </c>
      <c r="T5" s="593">
        <v>7108.03</v>
      </c>
      <c r="U5" s="594">
        <v>7861</v>
      </c>
      <c r="V5" s="595">
        <v>43756.28</v>
      </c>
      <c r="W5" s="594">
        <v>58707</v>
      </c>
      <c r="X5" s="595">
        <v>36361.03</v>
      </c>
      <c r="Y5" s="866">
        <v>34339</v>
      </c>
      <c r="Z5" s="593">
        <v>2802.83</v>
      </c>
      <c r="AA5" s="594">
        <v>3954</v>
      </c>
      <c r="AB5" s="595">
        <v>6906.34</v>
      </c>
      <c r="AC5" s="594">
        <v>8104</v>
      </c>
      <c r="AD5" s="595">
        <v>21687.06</v>
      </c>
      <c r="AE5" s="594">
        <v>26027</v>
      </c>
      <c r="AF5" s="595">
        <v>36361</v>
      </c>
      <c r="AG5" s="594">
        <v>39170</v>
      </c>
      <c r="AH5" s="595">
        <v>16252</v>
      </c>
      <c r="AI5" s="594">
        <v>18518</v>
      </c>
      <c r="AJ5" s="595">
        <v>18390</v>
      </c>
      <c r="AK5" s="866">
        <v>19917</v>
      </c>
      <c r="AL5" s="593"/>
      <c r="AM5" s="594"/>
      <c r="AN5" s="597">
        <v>38714.589999999997</v>
      </c>
      <c r="AO5" s="598">
        <v>43527</v>
      </c>
      <c r="AP5" s="595">
        <v>6673.54</v>
      </c>
      <c r="AQ5" s="594">
        <v>7660</v>
      </c>
      <c r="AR5" s="595">
        <v>6713.45</v>
      </c>
      <c r="AS5" s="594">
        <v>9768</v>
      </c>
      <c r="AT5" s="595">
        <v>20614.060000000001</v>
      </c>
      <c r="AU5" s="866">
        <v>27478</v>
      </c>
      <c r="AV5" s="593">
        <f t="shared" ref="AV5:AV39" si="0">SUM(B5+D5+F5+H5+J5+L5+N5+P5+R5+T5+V5+X5+Z5+AB5+AD5+AF5+AH5+AJ5+AL5+AN5+AP5+AR5+AT5)</f>
        <v>1916166.1400000004</v>
      </c>
      <c r="AW5" s="596">
        <f t="shared" ref="AW5:AW39" si="1">SUM(C5+E5+G5+I5+K5+M5+O5+Q5+S5+U5+W5+Y5+AA5+AC5+AE5+AG5+AI5+AK5+AM5+AO5+AQ5+AS5+AU5)</f>
        <v>401957</v>
      </c>
      <c r="AX5" s="595">
        <v>714622.63</v>
      </c>
      <c r="AY5" s="594">
        <v>767105</v>
      </c>
      <c r="AZ5" s="595">
        <f t="shared" ref="AZ5:AZ39" si="2">AV5+AX5</f>
        <v>2630788.7700000005</v>
      </c>
      <c r="BA5" s="596">
        <f t="shared" ref="BA5:BA39" si="3">AW5+AY5</f>
        <v>1169062</v>
      </c>
    </row>
    <row r="6" spans="1:53" x14ac:dyDescent="0.3">
      <c r="A6" s="179" t="s">
        <v>76</v>
      </c>
      <c r="B6" s="180">
        <v>16264</v>
      </c>
      <c r="C6" s="867"/>
      <c r="D6" s="186">
        <v>4.2699999999999996</v>
      </c>
      <c r="E6" s="182">
        <v>15</v>
      </c>
      <c r="F6" s="181">
        <v>-10</v>
      </c>
      <c r="G6" s="182">
        <v>47</v>
      </c>
      <c r="H6" s="181">
        <v>172.17</v>
      </c>
      <c r="I6" s="182">
        <v>1268</v>
      </c>
      <c r="J6" s="181">
        <v>36.03</v>
      </c>
      <c r="K6" s="320">
        <v>328</v>
      </c>
      <c r="L6" s="186">
        <v>299</v>
      </c>
      <c r="M6" s="182">
        <v>524</v>
      </c>
      <c r="N6" s="181">
        <v>15</v>
      </c>
      <c r="O6" s="320">
        <v>65</v>
      </c>
      <c r="P6" s="186">
        <v>88.55</v>
      </c>
      <c r="Q6" s="182">
        <v>338</v>
      </c>
      <c r="R6" s="181">
        <v>70</v>
      </c>
      <c r="S6" s="320">
        <v>262</v>
      </c>
      <c r="T6" s="186">
        <v>33.71</v>
      </c>
      <c r="U6" s="182">
        <v>77</v>
      </c>
      <c r="V6" s="181">
        <v>79.650000000000006</v>
      </c>
      <c r="W6" s="182">
        <v>1333</v>
      </c>
      <c r="X6" s="181">
        <v>515.87</v>
      </c>
      <c r="Y6" s="320">
        <v>1248</v>
      </c>
      <c r="Z6" s="321">
        <v>35.369999999999997</v>
      </c>
      <c r="AA6" s="533">
        <v>82</v>
      </c>
      <c r="AB6" s="181">
        <v>210.11</v>
      </c>
      <c r="AC6" s="182">
        <v>492</v>
      </c>
      <c r="AD6" s="181">
        <v>199.43</v>
      </c>
      <c r="AE6" s="182">
        <v>398</v>
      </c>
      <c r="AF6" s="181">
        <v>63</v>
      </c>
      <c r="AG6" s="182">
        <v>322</v>
      </c>
      <c r="AH6" s="181">
        <v>59</v>
      </c>
      <c r="AI6" s="182">
        <v>389</v>
      </c>
      <c r="AJ6" s="181">
        <v>39</v>
      </c>
      <c r="AK6" s="320">
        <v>547</v>
      </c>
      <c r="AL6" s="576"/>
      <c r="AM6" s="182"/>
      <c r="AN6" s="599">
        <v>1400.56</v>
      </c>
      <c r="AO6" s="882">
        <v>2156</v>
      </c>
      <c r="AP6" s="322">
        <v>388.67</v>
      </c>
      <c r="AQ6" s="184">
        <v>515</v>
      </c>
      <c r="AR6" s="534">
        <v>35.44</v>
      </c>
      <c r="AS6" s="184">
        <v>193</v>
      </c>
      <c r="AT6" s="181">
        <v>212.89</v>
      </c>
      <c r="AU6" s="320">
        <v>1637</v>
      </c>
      <c r="AV6" s="187">
        <f t="shared" si="0"/>
        <v>20211.719999999994</v>
      </c>
      <c r="AW6" s="797">
        <f t="shared" si="1"/>
        <v>12236</v>
      </c>
      <c r="AX6" s="534">
        <v>10226.879999999999</v>
      </c>
      <c r="AY6" s="185">
        <v>8483</v>
      </c>
      <c r="AZ6" s="745">
        <f t="shared" si="2"/>
        <v>30438.599999999991</v>
      </c>
      <c r="BA6" s="797">
        <f t="shared" si="3"/>
        <v>20719</v>
      </c>
    </row>
    <row r="7" spans="1:53" x14ac:dyDescent="0.3">
      <c r="A7" s="179" t="s">
        <v>77</v>
      </c>
      <c r="B7" s="180">
        <v>10590</v>
      </c>
      <c r="C7" s="867"/>
      <c r="D7" s="186">
        <v>2.56</v>
      </c>
      <c r="E7" s="182">
        <v>0</v>
      </c>
      <c r="F7" s="181">
        <v>0</v>
      </c>
      <c r="G7" s="182">
        <v>-1</v>
      </c>
      <c r="H7" s="181">
        <v>45.4</v>
      </c>
      <c r="I7" s="182">
        <v>453</v>
      </c>
      <c r="J7" s="181">
        <v>15.85</v>
      </c>
      <c r="K7" s="320">
        <v>126</v>
      </c>
      <c r="L7" s="186">
        <v>647</v>
      </c>
      <c r="M7" s="182">
        <v>126</v>
      </c>
      <c r="N7" s="181">
        <v>6</v>
      </c>
      <c r="O7" s="320">
        <v>5</v>
      </c>
      <c r="P7" s="186">
        <v>28.44</v>
      </c>
      <c r="Q7" s="182">
        <v>279</v>
      </c>
      <c r="R7" s="181">
        <v>10</v>
      </c>
      <c r="S7" s="120">
        <v>19</v>
      </c>
      <c r="T7" s="186">
        <v>103.59</v>
      </c>
      <c r="U7" s="182">
        <v>275</v>
      </c>
      <c r="V7" s="181">
        <v>4087.96</v>
      </c>
      <c r="W7" s="182">
        <v>1781</v>
      </c>
      <c r="X7" s="181">
        <v>966.73</v>
      </c>
      <c r="Y7" s="320">
        <v>153</v>
      </c>
      <c r="Z7" s="321">
        <v>8.18</v>
      </c>
      <c r="AA7" s="533">
        <v>6</v>
      </c>
      <c r="AB7" s="181">
        <v>383.5</v>
      </c>
      <c r="AC7" s="182">
        <v>769</v>
      </c>
      <c r="AD7" s="181">
        <v>56</v>
      </c>
      <c r="AE7" s="182">
        <v>104</v>
      </c>
      <c r="AF7" s="181">
        <v>967</v>
      </c>
      <c r="AG7" s="182">
        <v>1785</v>
      </c>
      <c r="AH7" s="181">
        <v>27</v>
      </c>
      <c r="AI7" s="182">
        <v>169</v>
      </c>
      <c r="AJ7" s="181">
        <v>238</v>
      </c>
      <c r="AK7" s="320">
        <v>156</v>
      </c>
      <c r="AL7" s="576"/>
      <c r="AM7" s="182"/>
      <c r="AN7" s="599">
        <v>63.25</v>
      </c>
      <c r="AO7" s="882">
        <v>1902</v>
      </c>
      <c r="AP7" s="322">
        <v>47.79</v>
      </c>
      <c r="AQ7" s="184">
        <v>112</v>
      </c>
      <c r="AR7" s="534">
        <v>86.5</v>
      </c>
      <c r="AS7" s="184">
        <v>226</v>
      </c>
      <c r="AT7" s="181">
        <v>508.25</v>
      </c>
      <c r="AU7" s="320">
        <v>3832</v>
      </c>
      <c r="AV7" s="187">
        <f t="shared" si="0"/>
        <v>18889</v>
      </c>
      <c r="AW7" s="797">
        <f>SUM(C7+E7+G7+I7+K7+M7+O7+Q7+S8+U7+W7+Y7+AA7+AC7+AE7+AG7+AI7+AK7+AM7+AO7+AQ7+AS7+AU7)</f>
        <v>13070</v>
      </c>
      <c r="AX7" s="534">
        <v>115.28</v>
      </c>
      <c r="AY7" s="185">
        <v>203</v>
      </c>
      <c r="AZ7" s="745">
        <f t="shared" si="2"/>
        <v>19004.28</v>
      </c>
      <c r="BA7" s="797">
        <f t="shared" si="3"/>
        <v>13273</v>
      </c>
    </row>
    <row r="8" spans="1:53" x14ac:dyDescent="0.3">
      <c r="A8" s="179" t="s">
        <v>78</v>
      </c>
      <c r="B8" s="180">
        <v>136456</v>
      </c>
      <c r="C8" s="867"/>
      <c r="D8" s="186">
        <v>71</v>
      </c>
      <c r="E8" s="182">
        <v>35</v>
      </c>
      <c r="F8" s="181">
        <v>749.16</v>
      </c>
      <c r="G8" s="182">
        <v>672</v>
      </c>
      <c r="H8" s="181">
        <f>809.45+831.06</f>
        <v>1640.51</v>
      </c>
      <c r="I8" s="182">
        <v>662</v>
      </c>
      <c r="J8" s="181">
        <v>523.58000000000004</v>
      </c>
      <c r="K8" s="320">
        <v>496</v>
      </c>
      <c r="L8" s="186">
        <v>238</v>
      </c>
      <c r="M8" s="182">
        <v>239</v>
      </c>
      <c r="N8" s="181">
        <v>472</v>
      </c>
      <c r="O8" s="320">
        <v>474</v>
      </c>
      <c r="P8" s="186">
        <v>506.23</v>
      </c>
      <c r="Q8" s="182">
        <v>306</v>
      </c>
      <c r="R8" s="181">
        <v>706</v>
      </c>
      <c r="S8" s="320">
        <v>812</v>
      </c>
      <c r="T8" s="186">
        <v>659.93</v>
      </c>
      <c r="U8" s="182">
        <v>480</v>
      </c>
      <c r="V8" s="181">
        <v>2690.92</v>
      </c>
      <c r="W8" s="182">
        <v>2975</v>
      </c>
      <c r="X8" s="181">
        <v>2010.86</v>
      </c>
      <c r="Y8" s="320">
        <v>1679</v>
      </c>
      <c r="Z8" s="321">
        <v>213.02</v>
      </c>
      <c r="AA8" s="533">
        <v>202</v>
      </c>
      <c r="AB8" s="181">
        <v>507.68</v>
      </c>
      <c r="AC8" s="182">
        <v>629</v>
      </c>
      <c r="AD8" s="181">
        <v>1332</v>
      </c>
      <c r="AE8" s="182">
        <v>1367</v>
      </c>
      <c r="AF8" s="181">
        <v>2011</v>
      </c>
      <c r="AG8" s="182">
        <v>1950</v>
      </c>
      <c r="AH8" s="181">
        <v>521</v>
      </c>
      <c r="AI8" s="182">
        <v>776</v>
      </c>
      <c r="AJ8" s="181">
        <f>1203+637</f>
        <v>1840</v>
      </c>
      <c r="AK8" s="320">
        <f>1256+621</f>
        <v>1877</v>
      </c>
      <c r="AL8" s="576"/>
      <c r="AM8" s="182"/>
      <c r="AN8" s="599">
        <v>2191.4</v>
      </c>
      <c r="AO8" s="882">
        <v>2299</v>
      </c>
      <c r="AP8" s="322">
        <v>364</v>
      </c>
      <c r="AQ8" s="184">
        <v>360</v>
      </c>
      <c r="AR8" s="534">
        <v>375.04</v>
      </c>
      <c r="AS8" s="184">
        <v>460</v>
      </c>
      <c r="AT8" s="181">
        <v>763.3</v>
      </c>
      <c r="AU8" s="320">
        <v>761</v>
      </c>
      <c r="AV8" s="187">
        <f t="shared" si="0"/>
        <v>156842.62999999998</v>
      </c>
      <c r="AW8" s="797">
        <f>SUM(C8+E8+G8+I8+K8+M8+O8+Q8+S9+U8+W8+Y8+AA8+AC8+AE8+AG8+AI8+AK8+AM8+AO8+AQ8+AS8+AU8)</f>
        <v>18738</v>
      </c>
      <c r="AX8" s="534">
        <v>14453.6</v>
      </c>
      <c r="AY8" s="185">
        <v>15439</v>
      </c>
      <c r="AZ8" s="745">
        <f t="shared" si="2"/>
        <v>171296.22999999998</v>
      </c>
      <c r="BA8" s="797">
        <f t="shared" si="3"/>
        <v>34177</v>
      </c>
    </row>
    <row r="9" spans="1:53" x14ac:dyDescent="0.3">
      <c r="A9" s="179" t="s">
        <v>79</v>
      </c>
      <c r="B9" s="180">
        <v>57477</v>
      </c>
      <c r="C9" s="867"/>
      <c r="D9" s="186">
        <v>0</v>
      </c>
      <c r="E9" s="182">
        <v>1</v>
      </c>
      <c r="F9" s="181">
        <v>307.97000000000003</v>
      </c>
      <c r="G9" s="182">
        <v>385</v>
      </c>
      <c r="H9" s="181">
        <v>168.94</v>
      </c>
      <c r="I9" s="182">
        <v>161</v>
      </c>
      <c r="J9" s="181">
        <v>44.9</v>
      </c>
      <c r="K9" s="320">
        <v>77</v>
      </c>
      <c r="L9" s="186">
        <v>36</v>
      </c>
      <c r="M9" s="182">
        <v>45</v>
      </c>
      <c r="N9" s="181">
        <v>161</v>
      </c>
      <c r="O9" s="320">
        <v>168</v>
      </c>
      <c r="P9" s="186">
        <v>271.89</v>
      </c>
      <c r="Q9" s="182">
        <v>259</v>
      </c>
      <c r="R9" s="181">
        <v>35</v>
      </c>
      <c r="S9" s="320">
        <v>39</v>
      </c>
      <c r="T9" s="186">
        <v>204.42</v>
      </c>
      <c r="U9" s="182">
        <v>270</v>
      </c>
      <c r="V9" s="181">
        <v>24.83</v>
      </c>
      <c r="W9" s="182">
        <v>86</v>
      </c>
      <c r="X9" s="181">
        <v>723.68</v>
      </c>
      <c r="Y9" s="320">
        <v>880</v>
      </c>
      <c r="Z9" s="321">
        <f>111.93+14.2</f>
        <v>126.13000000000001</v>
      </c>
      <c r="AA9" s="533">
        <v>2</v>
      </c>
      <c r="AB9" s="181">
        <v>93.86</v>
      </c>
      <c r="AC9" s="182">
        <v>107.94</v>
      </c>
      <c r="AD9" s="181">
        <v>388</v>
      </c>
      <c r="AE9" s="182">
        <v>479</v>
      </c>
      <c r="AF9" s="181">
        <v>724</v>
      </c>
      <c r="AG9" s="182">
        <v>904</v>
      </c>
      <c r="AH9" s="181">
        <v>38</v>
      </c>
      <c r="AI9" s="182">
        <v>61</v>
      </c>
      <c r="AJ9" s="181">
        <v>36</v>
      </c>
      <c r="AK9" s="320">
        <v>88</v>
      </c>
      <c r="AL9" s="576"/>
      <c r="AM9" s="182"/>
      <c r="AN9" s="599">
        <v>2047.28</v>
      </c>
      <c r="AO9" s="882">
        <v>2241</v>
      </c>
      <c r="AP9" s="322">
        <v>4.1399999999999997</v>
      </c>
      <c r="AQ9" s="184">
        <v>8.91</v>
      </c>
      <c r="AR9" s="534">
        <v>327.84</v>
      </c>
      <c r="AS9" s="184">
        <v>413</v>
      </c>
      <c r="AT9" s="181">
        <v>459.99</v>
      </c>
      <c r="AU9" s="320">
        <v>685</v>
      </c>
      <c r="AV9" s="187">
        <f t="shared" si="0"/>
        <v>63700.869999999995</v>
      </c>
      <c r="AW9" s="797">
        <f>SUM(C9+E9+G9+I9+K9+M9+O9+Q9+S10+U9+W9+Y9+AA9+AC9+AE9+AG9+AI9+AK9+AM9+AO9+AQ9+AS9+AU9)</f>
        <v>7358.85</v>
      </c>
      <c r="AX9" s="534">
        <v>2001.4</v>
      </c>
      <c r="AY9" s="185">
        <v>1867</v>
      </c>
      <c r="AZ9" s="745">
        <f t="shared" si="2"/>
        <v>65702.26999999999</v>
      </c>
      <c r="BA9" s="797">
        <f t="shared" si="3"/>
        <v>9225.85</v>
      </c>
    </row>
    <row r="10" spans="1:53" x14ac:dyDescent="0.3">
      <c r="A10" s="179" t="s">
        <v>80</v>
      </c>
      <c r="B10" s="180">
        <v>7514</v>
      </c>
      <c r="C10" s="867"/>
      <c r="D10" s="186">
        <v>10</v>
      </c>
      <c r="E10" s="182">
        <v>1</v>
      </c>
      <c r="F10" s="181">
        <v>39.71</v>
      </c>
      <c r="G10" s="182">
        <v>44</v>
      </c>
      <c r="H10" s="181">
        <v>74.16</v>
      </c>
      <c r="I10" s="182">
        <v>113</v>
      </c>
      <c r="J10" s="181">
        <v>85.57</v>
      </c>
      <c r="K10" s="320">
        <v>98</v>
      </c>
      <c r="L10" s="186">
        <v>61</v>
      </c>
      <c r="M10" s="182">
        <v>48</v>
      </c>
      <c r="N10" s="181">
        <v>8</v>
      </c>
      <c r="O10" s="320">
        <v>10</v>
      </c>
      <c r="P10" s="186">
        <v>32.229999999999997</v>
      </c>
      <c r="Q10" s="182">
        <v>50</v>
      </c>
      <c r="R10" s="181">
        <v>32</v>
      </c>
      <c r="S10" s="320">
        <v>37</v>
      </c>
      <c r="T10" s="186">
        <v>19.63</v>
      </c>
      <c r="U10" s="182">
        <v>19</v>
      </c>
      <c r="V10" s="181">
        <v>267.85000000000002</v>
      </c>
      <c r="W10" s="182">
        <v>358</v>
      </c>
      <c r="X10" s="181">
        <v>128.43</v>
      </c>
      <c r="Y10" s="320">
        <v>135</v>
      </c>
      <c r="Z10" s="186">
        <v>52.12</v>
      </c>
      <c r="AA10" s="533">
        <v>58</v>
      </c>
      <c r="AB10" s="181">
        <v>41.51</v>
      </c>
      <c r="AC10" s="182">
        <v>67.52</v>
      </c>
      <c r="AD10" s="181">
        <v>104</v>
      </c>
      <c r="AE10" s="182">
        <v>119</v>
      </c>
      <c r="AF10" s="181">
        <v>128</v>
      </c>
      <c r="AG10" s="182">
        <v>188</v>
      </c>
      <c r="AH10" s="181">
        <v>60</v>
      </c>
      <c r="AI10" s="182">
        <v>151</v>
      </c>
      <c r="AJ10" s="181">
        <v>117</v>
      </c>
      <c r="AK10" s="320">
        <v>76</v>
      </c>
      <c r="AL10" s="576"/>
      <c r="AM10" s="182"/>
      <c r="AN10" s="599">
        <v>240.27</v>
      </c>
      <c r="AO10" s="882">
        <v>228</v>
      </c>
      <c r="AP10" s="322">
        <v>63.53</v>
      </c>
      <c r="AQ10" s="184">
        <v>100.26</v>
      </c>
      <c r="AR10" s="534">
        <v>33.19</v>
      </c>
      <c r="AS10" s="184">
        <v>50</v>
      </c>
      <c r="AT10" s="181">
        <v>95</v>
      </c>
      <c r="AU10" s="320">
        <v>190</v>
      </c>
      <c r="AV10" s="180">
        <f t="shared" si="0"/>
        <v>9207.2000000000025</v>
      </c>
      <c r="AW10" s="579">
        <f>SUM(C10+E10+G10+I10+K10+M10+O10+Q10+S11+U10+W10+Y10+AA10+AC10+AE10+AG10+AI10+AK10+AM10+AO10+AQ10+AS10+AU10)</f>
        <v>2217.7799999999997</v>
      </c>
      <c r="AX10" s="181">
        <v>9281.1299999999992</v>
      </c>
      <c r="AY10" s="182">
        <v>6770</v>
      </c>
      <c r="AZ10" s="746">
        <f t="shared" si="2"/>
        <v>18488.330000000002</v>
      </c>
      <c r="BA10" s="579">
        <f t="shared" si="3"/>
        <v>8987.7799999999988</v>
      </c>
    </row>
    <row r="11" spans="1:53" x14ac:dyDescent="0.3">
      <c r="A11" s="179" t="s">
        <v>81</v>
      </c>
      <c r="B11" s="180">
        <v>22841</v>
      </c>
      <c r="C11" s="867"/>
      <c r="D11" s="186">
        <v>24</v>
      </c>
      <c r="E11" s="182">
        <v>56</v>
      </c>
      <c r="F11" s="181">
        <v>105.66</v>
      </c>
      <c r="G11" s="182">
        <v>120</v>
      </c>
      <c r="H11" s="181">
        <v>1066.73</v>
      </c>
      <c r="I11" s="182">
        <v>783</v>
      </c>
      <c r="J11" s="181">
        <v>55.13</v>
      </c>
      <c r="K11" s="320">
        <v>40</v>
      </c>
      <c r="L11" s="186">
        <v>726</v>
      </c>
      <c r="M11" s="182">
        <v>1086</v>
      </c>
      <c r="N11" s="181">
        <v>76</v>
      </c>
      <c r="O11" s="320">
        <v>72</v>
      </c>
      <c r="P11" s="186">
        <v>71.34</v>
      </c>
      <c r="Q11" s="182">
        <v>76</v>
      </c>
      <c r="R11" s="181">
        <v>183</v>
      </c>
      <c r="S11" s="320">
        <v>114</v>
      </c>
      <c r="T11" s="186">
        <v>95.11</v>
      </c>
      <c r="U11" s="182">
        <v>104</v>
      </c>
      <c r="V11" s="181">
        <v>443.82</v>
      </c>
      <c r="W11" s="182">
        <v>773</v>
      </c>
      <c r="X11" s="181">
        <v>1277.8499999999999</v>
      </c>
      <c r="Y11" s="320">
        <v>3387</v>
      </c>
      <c r="Z11" s="186">
        <v>92.56</v>
      </c>
      <c r="AA11" s="182">
        <v>85</v>
      </c>
      <c r="AB11" s="181">
        <v>276.52999999999997</v>
      </c>
      <c r="AC11" s="182">
        <v>218.13</v>
      </c>
      <c r="AD11" s="357">
        <v>246</v>
      </c>
      <c r="AE11" s="601">
        <v>165</v>
      </c>
      <c r="AF11" s="181">
        <v>1278</v>
      </c>
      <c r="AG11" s="182">
        <v>1729</v>
      </c>
      <c r="AH11" s="181">
        <v>270</v>
      </c>
      <c r="AI11" s="182">
        <v>250</v>
      </c>
      <c r="AJ11" s="181">
        <v>261</v>
      </c>
      <c r="AK11" s="320">
        <v>212</v>
      </c>
      <c r="AL11" s="576"/>
      <c r="AM11" s="182"/>
      <c r="AN11" s="599">
        <v>1355.81</v>
      </c>
      <c r="AO11" s="882">
        <v>1548</v>
      </c>
      <c r="AP11" s="322">
        <v>197.35</v>
      </c>
      <c r="AQ11" s="184">
        <v>151.25</v>
      </c>
      <c r="AR11" s="534">
        <v>53.36</v>
      </c>
      <c r="AS11" s="184">
        <v>93</v>
      </c>
      <c r="AT11" s="181">
        <v>559.82000000000005</v>
      </c>
      <c r="AU11" s="320">
        <v>525</v>
      </c>
      <c r="AV11" s="187">
        <f t="shared" si="0"/>
        <v>31556.07</v>
      </c>
      <c r="AW11" s="797">
        <f>SUM(C11+E11+G11+I11+K11+M11+O11+Q11+S11+U11+W11+Y11+AA11+AC11+AE11+AG11+AI11+AK11+AM11+AO11+AQ11+AS11+AU11)</f>
        <v>11587.380000000001</v>
      </c>
      <c r="AX11" s="534">
        <v>4353.09</v>
      </c>
      <c r="AY11" s="185">
        <v>3893</v>
      </c>
      <c r="AZ11" s="745">
        <f t="shared" si="2"/>
        <v>35909.160000000003</v>
      </c>
      <c r="BA11" s="579">
        <f t="shared" si="3"/>
        <v>15480.380000000001</v>
      </c>
    </row>
    <row r="12" spans="1:53" x14ac:dyDescent="0.3">
      <c r="A12" s="179" t="s">
        <v>82</v>
      </c>
      <c r="B12" s="180">
        <v>19467</v>
      </c>
      <c r="C12" s="867"/>
      <c r="D12" s="186">
        <v>68</v>
      </c>
      <c r="E12" s="182">
        <v>54</v>
      </c>
      <c r="F12" s="181">
        <v>379.07</v>
      </c>
      <c r="G12" s="182">
        <v>162</v>
      </c>
      <c r="H12" s="181">
        <v>1946.54</v>
      </c>
      <c r="I12" s="182">
        <v>2405</v>
      </c>
      <c r="J12" s="181">
        <v>788.38</v>
      </c>
      <c r="K12" s="320">
        <v>942</v>
      </c>
      <c r="L12" s="186">
        <v>367</v>
      </c>
      <c r="M12" s="182">
        <v>781</v>
      </c>
      <c r="N12" s="181">
        <v>204</v>
      </c>
      <c r="O12" s="320">
        <v>202</v>
      </c>
      <c r="P12" s="186">
        <v>260.20999999999998</v>
      </c>
      <c r="Q12" s="182">
        <v>363</v>
      </c>
      <c r="R12" s="181">
        <v>1600</v>
      </c>
      <c r="S12" s="320">
        <v>630</v>
      </c>
      <c r="T12" s="186">
        <v>127.48</v>
      </c>
      <c r="U12" s="182">
        <v>240</v>
      </c>
      <c r="V12" s="181">
        <v>3782.16</v>
      </c>
      <c r="W12" s="182">
        <v>3811</v>
      </c>
      <c r="X12" s="181">
        <v>834.7</v>
      </c>
      <c r="Y12" s="320">
        <v>8178</v>
      </c>
      <c r="Z12" s="186">
        <v>1028.24</v>
      </c>
      <c r="AA12" s="182">
        <v>655</v>
      </c>
      <c r="AB12" s="181">
        <v>210.46</v>
      </c>
      <c r="AC12" s="182">
        <v>370.11</v>
      </c>
      <c r="AD12" s="181">
        <v>525</v>
      </c>
      <c r="AE12" s="182">
        <v>522</v>
      </c>
      <c r="AF12" s="181">
        <v>835</v>
      </c>
      <c r="AG12" s="182">
        <v>1339</v>
      </c>
      <c r="AH12" s="181">
        <v>409</v>
      </c>
      <c r="AI12" s="182">
        <v>407</v>
      </c>
      <c r="AJ12" s="181">
        <v>767</v>
      </c>
      <c r="AK12" s="320">
        <v>619</v>
      </c>
      <c r="AL12" s="576"/>
      <c r="AM12" s="182"/>
      <c r="AN12" s="599">
        <v>3498.49</v>
      </c>
      <c r="AO12" s="882">
        <v>3159</v>
      </c>
      <c r="AP12" s="322">
        <v>650.45000000000005</v>
      </c>
      <c r="AQ12" s="184">
        <v>529.15</v>
      </c>
      <c r="AR12" s="534">
        <v>162.29</v>
      </c>
      <c r="AS12" s="184">
        <v>314</v>
      </c>
      <c r="AT12" s="181">
        <v>5392.83</v>
      </c>
      <c r="AU12" s="320">
        <v>5774</v>
      </c>
      <c r="AV12" s="187">
        <f t="shared" si="0"/>
        <v>43303.3</v>
      </c>
      <c r="AW12" s="797">
        <f t="shared" si="1"/>
        <v>31456.260000000002</v>
      </c>
      <c r="AX12" s="534">
        <v>328.33</v>
      </c>
      <c r="AY12" s="185">
        <v>317</v>
      </c>
      <c r="AZ12" s="745">
        <f t="shared" si="2"/>
        <v>43631.630000000005</v>
      </c>
      <c r="BA12" s="797">
        <f t="shared" si="3"/>
        <v>31773.260000000002</v>
      </c>
    </row>
    <row r="13" spans="1:53" x14ac:dyDescent="0.3">
      <c r="A13" s="179" t="s">
        <v>83</v>
      </c>
      <c r="B13" s="180">
        <v>30637</v>
      </c>
      <c r="C13" s="867"/>
      <c r="D13" s="186">
        <v>155</v>
      </c>
      <c r="E13" s="182">
        <v>4</v>
      </c>
      <c r="F13" s="181">
        <v>11.03</v>
      </c>
      <c r="G13" s="182">
        <v>12</v>
      </c>
      <c r="H13" s="181">
        <v>404.14</v>
      </c>
      <c r="I13" s="182">
        <v>331</v>
      </c>
      <c r="J13" s="181">
        <v>89.41</v>
      </c>
      <c r="K13" s="320">
        <v>47</v>
      </c>
      <c r="L13" s="186">
        <v>120</v>
      </c>
      <c r="M13" s="182">
        <v>121</v>
      </c>
      <c r="N13" s="181">
        <v>12</v>
      </c>
      <c r="O13" s="320">
        <v>25</v>
      </c>
      <c r="P13" s="186">
        <v>65.239999999999995</v>
      </c>
      <c r="Q13" s="182">
        <v>36</v>
      </c>
      <c r="R13" s="181">
        <v>116</v>
      </c>
      <c r="S13" s="320">
        <v>80</v>
      </c>
      <c r="T13" s="186">
        <v>28.19</v>
      </c>
      <c r="U13" s="182">
        <v>16</v>
      </c>
      <c r="V13" s="181">
        <v>591.16999999999996</v>
      </c>
      <c r="W13" s="182">
        <v>354</v>
      </c>
      <c r="X13" s="181">
        <v>1170.48</v>
      </c>
      <c r="Y13" s="320">
        <v>812</v>
      </c>
      <c r="Z13" s="186">
        <v>13.12</v>
      </c>
      <c r="AA13" s="182">
        <v>23</v>
      </c>
      <c r="AB13" s="181">
        <v>93.73</v>
      </c>
      <c r="AC13" s="182">
        <v>226.29</v>
      </c>
      <c r="AD13" s="181">
        <v>139</v>
      </c>
      <c r="AE13" s="182">
        <v>208</v>
      </c>
      <c r="AF13" s="181">
        <v>1170</v>
      </c>
      <c r="AG13" s="182">
        <v>1132</v>
      </c>
      <c r="AH13" s="181">
        <v>166</v>
      </c>
      <c r="AI13" s="182">
        <v>352</v>
      </c>
      <c r="AJ13" s="181">
        <v>27</v>
      </c>
      <c r="AK13" s="320">
        <v>24</v>
      </c>
      <c r="AL13" s="576"/>
      <c r="AM13" s="182"/>
      <c r="AN13" s="599">
        <v>875.83</v>
      </c>
      <c r="AO13" s="882">
        <v>1341</v>
      </c>
      <c r="AP13" s="322">
        <v>7.61</v>
      </c>
      <c r="AQ13" s="184">
        <v>17.100000000000001</v>
      </c>
      <c r="AR13" s="534">
        <v>38.119999999999997</v>
      </c>
      <c r="AS13" s="184">
        <v>43</v>
      </c>
      <c r="AT13" s="181">
        <v>1136.3599999999999</v>
      </c>
      <c r="AU13" s="320">
        <v>587</v>
      </c>
      <c r="AV13" s="187">
        <f t="shared" si="0"/>
        <v>37066.430000000008</v>
      </c>
      <c r="AW13" s="797">
        <f t="shared" si="1"/>
        <v>5791.39</v>
      </c>
      <c r="AX13" s="534">
        <v>603</v>
      </c>
      <c r="AY13" s="185">
        <v>1225</v>
      </c>
      <c r="AZ13" s="745">
        <f t="shared" si="2"/>
        <v>37669.430000000008</v>
      </c>
      <c r="BA13" s="797">
        <f t="shared" si="3"/>
        <v>7016.39</v>
      </c>
    </row>
    <row r="14" spans="1:53" x14ac:dyDescent="0.3">
      <c r="A14" s="179" t="s">
        <v>84</v>
      </c>
      <c r="B14" s="180"/>
      <c r="C14" s="867"/>
      <c r="D14" s="186"/>
      <c r="E14" s="182"/>
      <c r="F14" s="181"/>
      <c r="G14" s="182"/>
      <c r="H14" s="181"/>
      <c r="I14" s="182"/>
      <c r="J14" s="181"/>
      <c r="K14" s="320"/>
      <c r="L14" s="186"/>
      <c r="M14" s="182"/>
      <c r="N14" s="181"/>
      <c r="O14" s="320"/>
      <c r="P14" s="186"/>
      <c r="Q14" s="182"/>
      <c r="R14" s="181"/>
      <c r="S14" s="320"/>
      <c r="T14" s="186"/>
      <c r="U14" s="182"/>
      <c r="V14" s="181"/>
      <c r="W14" s="182"/>
      <c r="X14" s="181"/>
      <c r="Y14" s="320"/>
      <c r="Z14" s="186"/>
      <c r="AA14" s="182"/>
      <c r="AB14" s="181"/>
      <c r="AC14" s="182"/>
      <c r="AD14" s="181"/>
      <c r="AE14" s="182"/>
      <c r="AF14" s="181"/>
      <c r="AG14" s="182"/>
      <c r="AH14" s="181"/>
      <c r="AI14" s="182"/>
      <c r="AJ14" s="181"/>
      <c r="AK14" s="320"/>
      <c r="AL14" s="576"/>
      <c r="AM14" s="182"/>
      <c r="AN14" s="181"/>
      <c r="AO14" s="182"/>
      <c r="AP14" s="322"/>
      <c r="AQ14" s="184"/>
      <c r="AR14" s="534"/>
      <c r="AS14" s="184"/>
      <c r="AT14" s="181"/>
      <c r="AU14" s="320"/>
      <c r="AV14" s="187">
        <f t="shared" si="0"/>
        <v>0</v>
      </c>
      <c r="AW14" s="797">
        <f t="shared" si="1"/>
        <v>0</v>
      </c>
      <c r="AX14" s="534"/>
      <c r="AY14" s="185"/>
      <c r="AZ14" s="745">
        <f t="shared" si="2"/>
        <v>0</v>
      </c>
      <c r="BA14" s="797">
        <f t="shared" si="3"/>
        <v>0</v>
      </c>
    </row>
    <row r="15" spans="1:53" x14ac:dyDescent="0.3">
      <c r="A15" s="179" t="s">
        <v>85</v>
      </c>
      <c r="B15" s="180">
        <v>2090</v>
      </c>
      <c r="C15" s="867"/>
      <c r="D15" s="186">
        <v>10</v>
      </c>
      <c r="E15" s="182">
        <v>10</v>
      </c>
      <c r="F15" s="181">
        <v>12.93</v>
      </c>
      <c r="G15" s="182">
        <v>16</v>
      </c>
      <c r="H15" s="181">
        <v>26.5</v>
      </c>
      <c r="I15" s="182">
        <v>27</v>
      </c>
      <c r="J15" s="181">
        <v>15.22</v>
      </c>
      <c r="K15" s="320">
        <v>19</v>
      </c>
      <c r="L15" s="186"/>
      <c r="M15" s="182"/>
      <c r="N15" s="181">
        <v>9</v>
      </c>
      <c r="O15" s="320">
        <v>9</v>
      </c>
      <c r="P15" s="186">
        <v>7.1</v>
      </c>
      <c r="Q15" s="182">
        <v>8</v>
      </c>
      <c r="R15" s="181">
        <v>13</v>
      </c>
      <c r="S15" s="320">
        <v>12</v>
      </c>
      <c r="T15" s="186">
        <v>9.5</v>
      </c>
      <c r="U15" s="182">
        <v>11</v>
      </c>
      <c r="V15" s="181">
        <v>24</v>
      </c>
      <c r="W15" s="182">
        <v>24</v>
      </c>
      <c r="X15" s="181">
        <v>24.38</v>
      </c>
      <c r="Y15" s="320">
        <v>63</v>
      </c>
      <c r="Z15" s="321">
        <v>9.6</v>
      </c>
      <c r="AA15" s="533">
        <v>11</v>
      </c>
      <c r="AB15" s="181">
        <v>9</v>
      </c>
      <c r="AC15" s="182">
        <v>9.27</v>
      </c>
      <c r="AD15" s="357">
        <v>20</v>
      </c>
      <c r="AE15" s="601">
        <v>20</v>
      </c>
      <c r="AF15" s="181">
        <v>24</v>
      </c>
      <c r="AG15" s="182">
        <v>24</v>
      </c>
      <c r="AH15" s="181">
        <v>19</v>
      </c>
      <c r="AI15" s="182">
        <v>20</v>
      </c>
      <c r="AJ15" s="181">
        <v>17</v>
      </c>
      <c r="AK15" s="320">
        <v>19</v>
      </c>
      <c r="AL15" s="576"/>
      <c r="AM15" s="182"/>
      <c r="AN15" s="599">
        <v>11</v>
      </c>
      <c r="AO15" s="882">
        <v>15</v>
      </c>
      <c r="AP15" s="322">
        <v>4.25</v>
      </c>
      <c r="AQ15" s="184">
        <v>4</v>
      </c>
      <c r="AR15" s="534">
        <v>9.56</v>
      </c>
      <c r="AS15" s="184">
        <v>18</v>
      </c>
      <c r="AT15" s="181">
        <v>26.88</v>
      </c>
      <c r="AU15" s="320">
        <v>20</v>
      </c>
      <c r="AV15" s="180">
        <f t="shared" si="0"/>
        <v>2391.9199999999996</v>
      </c>
      <c r="AW15" s="579">
        <f t="shared" si="1"/>
        <v>359.27</v>
      </c>
      <c r="AX15" s="181">
        <v>76.5</v>
      </c>
      <c r="AY15" s="182">
        <v>139</v>
      </c>
      <c r="AZ15" s="746">
        <f t="shared" si="2"/>
        <v>2468.4199999999996</v>
      </c>
      <c r="BA15" s="579">
        <f t="shared" si="3"/>
        <v>498.27</v>
      </c>
    </row>
    <row r="16" spans="1:53" x14ac:dyDescent="0.3">
      <c r="A16" s="179" t="s">
        <v>86</v>
      </c>
      <c r="B16" s="180"/>
      <c r="C16" s="867"/>
      <c r="D16" s="186"/>
      <c r="E16" s="182"/>
      <c r="F16" s="181"/>
      <c r="G16" s="182"/>
      <c r="H16" s="181"/>
      <c r="I16" s="182"/>
      <c r="J16" s="181"/>
      <c r="K16" s="320"/>
      <c r="L16" s="186"/>
      <c r="M16" s="182"/>
      <c r="N16" s="181"/>
      <c r="O16" s="320"/>
      <c r="P16" s="186"/>
      <c r="Q16" s="182"/>
      <c r="R16" s="181"/>
      <c r="S16" s="320"/>
      <c r="T16" s="186"/>
      <c r="U16" s="182"/>
      <c r="V16" s="181"/>
      <c r="W16" s="182"/>
      <c r="X16" s="181"/>
      <c r="Y16" s="320"/>
      <c r="Z16" s="321"/>
      <c r="AA16" s="533"/>
      <c r="AB16" s="181"/>
      <c r="AC16" s="182"/>
      <c r="AD16" s="181"/>
      <c r="AE16" s="182"/>
      <c r="AF16" s="181"/>
      <c r="AG16" s="182"/>
      <c r="AH16" s="181"/>
      <c r="AI16" s="182"/>
      <c r="AJ16" s="181"/>
      <c r="AK16" s="320"/>
      <c r="AL16" s="576"/>
      <c r="AM16" s="182"/>
      <c r="AN16" s="599"/>
      <c r="AO16" s="882"/>
      <c r="AP16" s="322"/>
      <c r="AQ16" s="184"/>
      <c r="AR16" s="534"/>
      <c r="AS16" s="184"/>
      <c r="AT16" s="181"/>
      <c r="AU16" s="320"/>
      <c r="AV16" s="187">
        <f t="shared" si="0"/>
        <v>0</v>
      </c>
      <c r="AW16" s="797">
        <f t="shared" si="1"/>
        <v>0</v>
      </c>
      <c r="AX16" s="181"/>
      <c r="AY16" s="182"/>
      <c r="AZ16" s="745">
        <f t="shared" si="2"/>
        <v>0</v>
      </c>
      <c r="BA16" s="797">
        <f t="shared" si="3"/>
        <v>0</v>
      </c>
    </row>
    <row r="17" spans="1:53" x14ac:dyDescent="0.3">
      <c r="A17" s="179" t="s">
        <v>87</v>
      </c>
      <c r="B17" s="180"/>
      <c r="C17" s="867"/>
      <c r="D17" s="186"/>
      <c r="E17" s="182"/>
      <c r="F17" s="181"/>
      <c r="G17" s="182"/>
      <c r="H17" s="181"/>
      <c r="I17" s="182"/>
      <c r="J17" s="181"/>
      <c r="K17" s="320"/>
      <c r="L17" s="186"/>
      <c r="M17" s="182"/>
      <c r="N17" s="181">
        <v>1</v>
      </c>
      <c r="O17" s="320"/>
      <c r="P17" s="186"/>
      <c r="Q17" s="182"/>
      <c r="R17" s="181"/>
      <c r="S17" s="320"/>
      <c r="T17" s="186"/>
      <c r="U17" s="182"/>
      <c r="V17" s="181">
        <v>0.43</v>
      </c>
      <c r="W17" s="182"/>
      <c r="X17" s="181">
        <v>0.87</v>
      </c>
      <c r="Y17" s="320"/>
      <c r="Z17" s="321"/>
      <c r="AA17" s="533"/>
      <c r="AB17" s="181"/>
      <c r="AC17" s="182"/>
      <c r="AD17" s="181"/>
      <c r="AE17" s="182"/>
      <c r="AF17" s="181">
        <v>1</v>
      </c>
      <c r="AG17" s="182">
        <v>1</v>
      </c>
      <c r="AH17" s="181"/>
      <c r="AI17" s="182"/>
      <c r="AJ17" s="181"/>
      <c r="AK17" s="320"/>
      <c r="AL17" s="576"/>
      <c r="AM17" s="182"/>
      <c r="AN17" s="599"/>
      <c r="AO17" s="182"/>
      <c r="AP17" s="322">
        <v>0.25</v>
      </c>
      <c r="AQ17" s="184">
        <v>0.25</v>
      </c>
      <c r="AR17" s="534"/>
      <c r="AS17" s="184"/>
      <c r="AT17" s="181"/>
      <c r="AU17" s="320"/>
      <c r="AV17" s="187">
        <f t="shared" si="0"/>
        <v>3.55</v>
      </c>
      <c r="AW17" s="797">
        <f t="shared" si="1"/>
        <v>1.25</v>
      </c>
      <c r="AX17" s="181"/>
      <c r="AY17" s="182"/>
      <c r="AZ17" s="745">
        <f t="shared" si="2"/>
        <v>3.55</v>
      </c>
      <c r="BA17" s="797">
        <f t="shared" si="3"/>
        <v>1.25</v>
      </c>
    </row>
    <row r="18" spans="1:53" x14ac:dyDescent="0.3">
      <c r="A18" s="179" t="s">
        <v>88</v>
      </c>
      <c r="B18" s="180"/>
      <c r="C18" s="867"/>
      <c r="D18" s="186"/>
      <c r="E18" s="182"/>
      <c r="F18" s="181"/>
      <c r="G18" s="182"/>
      <c r="H18" s="181"/>
      <c r="I18" s="182"/>
      <c r="J18" s="181"/>
      <c r="K18" s="320"/>
      <c r="L18" s="186"/>
      <c r="M18" s="182"/>
      <c r="N18" s="181"/>
      <c r="O18" s="320"/>
      <c r="P18" s="186"/>
      <c r="Q18" s="182"/>
      <c r="R18" s="181"/>
      <c r="S18" s="320"/>
      <c r="T18" s="186"/>
      <c r="U18" s="182"/>
      <c r="V18" s="181"/>
      <c r="W18" s="182"/>
      <c r="X18" s="181"/>
      <c r="Y18" s="320"/>
      <c r="Z18" s="321"/>
      <c r="AA18" s="533"/>
      <c r="AB18" s="181"/>
      <c r="AC18" s="182"/>
      <c r="AD18" s="181"/>
      <c r="AE18" s="182"/>
      <c r="AF18" s="181"/>
      <c r="AG18" s="182"/>
      <c r="AH18" s="181"/>
      <c r="AI18" s="182"/>
      <c r="AJ18" s="181"/>
      <c r="AK18" s="320"/>
      <c r="AL18" s="576"/>
      <c r="AM18" s="182"/>
      <c r="AN18" s="599"/>
      <c r="AO18" s="882"/>
      <c r="AP18" s="322"/>
      <c r="AQ18" s="184"/>
      <c r="AR18" s="534"/>
      <c r="AS18" s="184"/>
      <c r="AT18" s="181"/>
      <c r="AU18" s="320"/>
      <c r="AV18" s="187">
        <f t="shared" si="0"/>
        <v>0</v>
      </c>
      <c r="AW18" s="797">
        <f t="shared" si="1"/>
        <v>0</v>
      </c>
      <c r="AX18" s="181"/>
      <c r="AY18" s="182"/>
      <c r="AZ18" s="745">
        <f t="shared" si="2"/>
        <v>0</v>
      </c>
      <c r="BA18" s="797">
        <f t="shared" si="3"/>
        <v>0</v>
      </c>
    </row>
    <row r="19" spans="1:53" x14ac:dyDescent="0.3">
      <c r="A19" s="179" t="s">
        <v>89</v>
      </c>
      <c r="B19" s="180">
        <v>224</v>
      </c>
      <c r="C19" s="867"/>
      <c r="D19" s="186"/>
      <c r="E19" s="182"/>
      <c r="F19" s="181"/>
      <c r="G19" s="182"/>
      <c r="H19" s="181"/>
      <c r="I19" s="182"/>
      <c r="J19" s="181"/>
      <c r="K19" s="320"/>
      <c r="L19" s="186"/>
      <c r="M19" s="182"/>
      <c r="N19" s="181"/>
      <c r="O19" s="320"/>
      <c r="P19" s="186"/>
      <c r="Q19" s="182"/>
      <c r="R19" s="181"/>
      <c r="S19" s="320"/>
      <c r="T19" s="186"/>
      <c r="U19" s="182"/>
      <c r="V19" s="181"/>
      <c r="W19" s="182"/>
      <c r="X19" s="181"/>
      <c r="Y19" s="320"/>
      <c r="Z19" s="321"/>
      <c r="AA19" s="533"/>
      <c r="AB19" s="181"/>
      <c r="AC19" s="182"/>
      <c r="AD19" s="181">
        <v>6</v>
      </c>
      <c r="AE19" s="182">
        <v>7</v>
      </c>
      <c r="AF19" s="181"/>
      <c r="AG19" s="182"/>
      <c r="AH19" s="181"/>
      <c r="AI19" s="182"/>
      <c r="AJ19" s="181"/>
      <c r="AK19" s="320"/>
      <c r="AL19" s="576"/>
      <c r="AM19" s="182"/>
      <c r="AN19" s="599"/>
      <c r="AO19" s="883"/>
      <c r="AP19" s="322"/>
      <c r="AQ19" s="184"/>
      <c r="AR19" s="534"/>
      <c r="AS19" s="184"/>
      <c r="AT19" s="181"/>
      <c r="AU19" s="320"/>
      <c r="AV19" s="187">
        <f t="shared" si="0"/>
        <v>230</v>
      </c>
      <c r="AW19" s="797">
        <f t="shared" si="1"/>
        <v>7</v>
      </c>
      <c r="AX19" s="181"/>
      <c r="AY19" s="182"/>
      <c r="AZ19" s="745">
        <f t="shared" si="2"/>
        <v>230</v>
      </c>
      <c r="BA19" s="797">
        <f t="shared" si="3"/>
        <v>7</v>
      </c>
    </row>
    <row r="20" spans="1:53" x14ac:dyDescent="0.3">
      <c r="A20" s="179" t="s">
        <v>90</v>
      </c>
      <c r="B20" s="180"/>
      <c r="C20" s="867"/>
      <c r="D20" s="186">
        <v>0.13</v>
      </c>
      <c r="E20" s="182"/>
      <c r="F20" s="181">
        <v>1.25</v>
      </c>
      <c r="G20" s="182">
        <v>1</v>
      </c>
      <c r="H20" s="181">
        <v>3.4</v>
      </c>
      <c r="I20" s="182">
        <v>3</v>
      </c>
      <c r="J20" s="181"/>
      <c r="K20" s="320"/>
      <c r="L20" s="186">
        <v>9</v>
      </c>
      <c r="M20" s="182">
        <v>9</v>
      </c>
      <c r="N20" s="181">
        <v>5</v>
      </c>
      <c r="O20" s="320">
        <v>5</v>
      </c>
      <c r="P20" s="186">
        <v>2</v>
      </c>
      <c r="Q20" s="182">
        <v>2</v>
      </c>
      <c r="R20" s="181">
        <v>5</v>
      </c>
      <c r="S20" s="320">
        <v>9</v>
      </c>
      <c r="T20" s="186">
        <v>2.29</v>
      </c>
      <c r="U20" s="182"/>
      <c r="V20" s="181">
        <v>11.03</v>
      </c>
      <c r="W20" s="182">
        <v>4</v>
      </c>
      <c r="X20" s="181">
        <v>12.16</v>
      </c>
      <c r="Y20" s="320"/>
      <c r="Z20" s="321">
        <v>2.61</v>
      </c>
      <c r="AA20" s="533">
        <v>2</v>
      </c>
      <c r="AB20" s="181">
        <v>1.45</v>
      </c>
      <c r="AC20" s="182">
        <v>1.49</v>
      </c>
      <c r="AD20" s="357"/>
      <c r="AE20" s="601"/>
      <c r="AF20" s="181">
        <v>12</v>
      </c>
      <c r="AG20" s="182">
        <v>16</v>
      </c>
      <c r="AH20" s="188">
        <v>4</v>
      </c>
      <c r="AI20" s="872">
        <v>1</v>
      </c>
      <c r="AJ20" s="181">
        <v>5</v>
      </c>
      <c r="AK20" s="320">
        <v>8</v>
      </c>
      <c r="AL20" s="576"/>
      <c r="AM20" s="182"/>
      <c r="AN20" s="599">
        <v>8.66</v>
      </c>
      <c r="AO20" s="882">
        <v>11</v>
      </c>
      <c r="AP20" s="322"/>
      <c r="AQ20" s="184"/>
      <c r="AR20" s="534"/>
      <c r="AS20" s="184"/>
      <c r="AT20" s="181">
        <v>1.82</v>
      </c>
      <c r="AU20" s="320">
        <v>2</v>
      </c>
      <c r="AV20" s="180">
        <f t="shared" si="0"/>
        <v>86.8</v>
      </c>
      <c r="AW20" s="579">
        <f t="shared" si="1"/>
        <v>74.490000000000009</v>
      </c>
      <c r="AX20" s="181"/>
      <c r="AY20" s="182"/>
      <c r="AZ20" s="746">
        <f t="shared" si="2"/>
        <v>86.8</v>
      </c>
      <c r="BA20" s="579">
        <f t="shared" si="3"/>
        <v>74.490000000000009</v>
      </c>
    </row>
    <row r="21" spans="1:53" ht="17.25" x14ac:dyDescent="0.35">
      <c r="A21" s="179" t="s">
        <v>91</v>
      </c>
      <c r="B21" s="180"/>
      <c r="C21" s="867"/>
      <c r="D21" s="186">
        <v>0.75</v>
      </c>
      <c r="E21" s="182"/>
      <c r="F21" s="181"/>
      <c r="G21" s="182"/>
      <c r="H21" s="181">
        <v>1.57</v>
      </c>
      <c r="I21" s="182"/>
      <c r="J21" s="181"/>
      <c r="K21" s="320"/>
      <c r="L21" s="186"/>
      <c r="M21" s="182"/>
      <c r="N21" s="181"/>
      <c r="O21" s="320"/>
      <c r="P21" s="186">
        <v>1</v>
      </c>
      <c r="Q21" s="182"/>
      <c r="R21" s="181"/>
      <c r="S21" s="320"/>
      <c r="T21" s="186"/>
      <c r="U21" s="182"/>
      <c r="V21" s="181"/>
      <c r="W21" s="182"/>
      <c r="X21" s="181">
        <v>3.65</v>
      </c>
      <c r="Y21" s="320"/>
      <c r="Z21" s="321"/>
      <c r="AA21" s="533"/>
      <c r="AB21" s="181"/>
      <c r="AC21" s="182"/>
      <c r="AD21" s="181"/>
      <c r="AE21" s="182"/>
      <c r="AF21" s="181">
        <v>4</v>
      </c>
      <c r="AG21" s="182">
        <v>4</v>
      </c>
      <c r="AH21" s="189"/>
      <c r="AI21" s="190"/>
      <c r="AJ21" s="181"/>
      <c r="AK21" s="320"/>
      <c r="AL21" s="576"/>
      <c r="AM21" s="182"/>
      <c r="AN21" s="599"/>
      <c r="AO21" s="182">
        <v>1</v>
      </c>
      <c r="AP21" s="322"/>
      <c r="AQ21" s="184"/>
      <c r="AR21" s="534"/>
      <c r="AS21" s="184"/>
      <c r="AT21" s="181">
        <v>0.4</v>
      </c>
      <c r="AU21" s="320"/>
      <c r="AV21" s="187">
        <f t="shared" si="0"/>
        <v>11.370000000000001</v>
      </c>
      <c r="AW21" s="797">
        <f t="shared" si="1"/>
        <v>5</v>
      </c>
      <c r="AX21" s="534"/>
      <c r="AY21" s="185"/>
      <c r="AZ21" s="745">
        <f t="shared" si="2"/>
        <v>11.370000000000001</v>
      </c>
      <c r="BA21" s="797">
        <f t="shared" si="3"/>
        <v>5</v>
      </c>
    </row>
    <row r="22" spans="1:53" x14ac:dyDescent="0.3">
      <c r="A22" s="179" t="s">
        <v>92</v>
      </c>
      <c r="B22" s="180">
        <v>495802</v>
      </c>
      <c r="C22" s="867"/>
      <c r="D22" s="186">
        <v>379.97</v>
      </c>
      <c r="E22" s="182">
        <v>52</v>
      </c>
      <c r="F22" s="181">
        <v>181.09</v>
      </c>
      <c r="G22" s="182">
        <v>558</v>
      </c>
      <c r="H22" s="181">
        <v>4661.55</v>
      </c>
      <c r="I22" s="182">
        <v>12411</v>
      </c>
      <c r="J22" s="181">
        <v>3395.88</v>
      </c>
      <c r="K22" s="320">
        <v>5589</v>
      </c>
      <c r="L22" s="186">
        <v>473</v>
      </c>
      <c r="M22" s="182">
        <v>1385</v>
      </c>
      <c r="N22" s="181">
        <v>6</v>
      </c>
      <c r="O22" s="320">
        <v>73</v>
      </c>
      <c r="P22" s="186">
        <v>1133.29</v>
      </c>
      <c r="Q22" s="182">
        <v>438</v>
      </c>
      <c r="R22" s="181">
        <v>215</v>
      </c>
      <c r="S22" s="320">
        <v>344</v>
      </c>
      <c r="T22" s="186">
        <v>174.92</v>
      </c>
      <c r="U22" s="182">
        <v>60</v>
      </c>
      <c r="V22" s="181">
        <v>27279.78</v>
      </c>
      <c r="W22" s="182">
        <v>46732</v>
      </c>
      <c r="X22" s="181">
        <v>7732.02</v>
      </c>
      <c r="Y22" s="320">
        <v>24534</v>
      </c>
      <c r="Z22" s="321">
        <v>489.59</v>
      </c>
      <c r="AA22" s="533">
        <v>484</v>
      </c>
      <c r="AB22" s="181">
        <v>90.46</v>
      </c>
      <c r="AC22" s="182">
        <v>170.57</v>
      </c>
      <c r="AD22" s="181">
        <v>2737</v>
      </c>
      <c r="AE22" s="182">
        <v>2019</v>
      </c>
      <c r="AF22" s="181">
        <v>6356</v>
      </c>
      <c r="AG22" s="182">
        <v>7466</v>
      </c>
      <c r="AH22" s="181">
        <v>1879.09</v>
      </c>
      <c r="AI22" s="182">
        <v>4142</v>
      </c>
      <c r="AJ22" s="181">
        <v>1684</v>
      </c>
      <c r="AK22" s="320">
        <v>2076</v>
      </c>
      <c r="AL22" s="576"/>
      <c r="AM22" s="182"/>
      <c r="AN22" s="599">
        <v>941.56</v>
      </c>
      <c r="AO22" s="882">
        <v>1175</v>
      </c>
      <c r="AP22" s="322">
        <v>1.88</v>
      </c>
      <c r="AQ22" s="184">
        <v>1.88</v>
      </c>
      <c r="AR22" s="534">
        <v>195.16</v>
      </c>
      <c r="AS22" s="184">
        <v>811</v>
      </c>
      <c r="AT22" s="181">
        <v>12200.48</v>
      </c>
      <c r="AU22" s="320">
        <v>32830</v>
      </c>
      <c r="AV22" s="187">
        <f t="shared" si="0"/>
        <v>568009.72</v>
      </c>
      <c r="AW22" s="797">
        <f t="shared" si="1"/>
        <v>143351.45000000001</v>
      </c>
      <c r="AX22" s="534">
        <v>5182.7700000000004</v>
      </c>
      <c r="AY22" s="185">
        <v>11356</v>
      </c>
      <c r="AZ22" s="745">
        <f t="shared" si="2"/>
        <v>573192.49</v>
      </c>
      <c r="BA22" s="797">
        <f t="shared" si="3"/>
        <v>154707.45000000001</v>
      </c>
    </row>
    <row r="23" spans="1:53" x14ac:dyDescent="0.3">
      <c r="A23" s="179" t="s">
        <v>93</v>
      </c>
      <c r="B23" s="180">
        <v>26932</v>
      </c>
      <c r="C23" s="867"/>
      <c r="D23" s="186">
        <v>61.99</v>
      </c>
      <c r="E23" s="182">
        <v>46</v>
      </c>
      <c r="F23" s="181">
        <v>43.68</v>
      </c>
      <c r="G23" s="182">
        <v>42</v>
      </c>
      <c r="H23" s="181">
        <v>205.08</v>
      </c>
      <c r="I23" s="182">
        <v>201</v>
      </c>
      <c r="J23" s="181">
        <v>117.97</v>
      </c>
      <c r="K23" s="320">
        <v>106</v>
      </c>
      <c r="L23" s="186">
        <v>182.3</v>
      </c>
      <c r="M23" s="182">
        <v>161</v>
      </c>
      <c r="N23" s="181">
        <v>50</v>
      </c>
      <c r="O23" s="320">
        <v>43</v>
      </c>
      <c r="P23" s="186">
        <v>69.72</v>
      </c>
      <c r="Q23" s="182">
        <v>72</v>
      </c>
      <c r="R23" s="181">
        <v>207</v>
      </c>
      <c r="S23" s="320">
        <v>211</v>
      </c>
      <c r="T23" s="186">
        <v>43.91</v>
      </c>
      <c r="U23" s="182">
        <v>45</v>
      </c>
      <c r="V23" s="181">
        <v>532.21</v>
      </c>
      <c r="W23" s="182">
        <v>455</v>
      </c>
      <c r="X23" s="181">
        <v>468.08</v>
      </c>
      <c r="Y23" s="320">
        <v>581</v>
      </c>
      <c r="Z23" s="321">
        <v>59.03</v>
      </c>
      <c r="AA23" s="533">
        <v>49</v>
      </c>
      <c r="AB23" s="181">
        <v>72.180000000000007</v>
      </c>
      <c r="AC23" s="182">
        <v>60.93</v>
      </c>
      <c r="AD23" s="181">
        <v>193</v>
      </c>
      <c r="AE23" s="182">
        <v>233</v>
      </c>
      <c r="AF23" s="357">
        <v>468</v>
      </c>
      <c r="AG23" s="601">
        <v>457</v>
      </c>
      <c r="AH23" s="181">
        <v>162.32</v>
      </c>
      <c r="AI23" s="182">
        <v>187</v>
      </c>
      <c r="AJ23" s="181">
        <v>159</v>
      </c>
      <c r="AK23" s="320">
        <v>173</v>
      </c>
      <c r="AL23" s="576"/>
      <c r="AM23" s="182"/>
      <c r="AN23" s="599">
        <v>293.06</v>
      </c>
      <c r="AO23" s="882">
        <v>208</v>
      </c>
      <c r="AP23" s="322">
        <v>21.37</v>
      </c>
      <c r="AQ23" s="184">
        <v>21.42</v>
      </c>
      <c r="AR23" s="534">
        <v>10.02</v>
      </c>
      <c r="AS23" s="184">
        <v>7</v>
      </c>
      <c r="AT23" s="181">
        <v>374.46</v>
      </c>
      <c r="AU23" s="320">
        <v>469</v>
      </c>
      <c r="AV23" s="187">
        <f t="shared" si="0"/>
        <v>30726.380000000005</v>
      </c>
      <c r="AW23" s="797">
        <f t="shared" si="1"/>
        <v>3828.35</v>
      </c>
      <c r="AX23" s="534">
        <v>853.27</v>
      </c>
      <c r="AY23" s="185">
        <v>1191</v>
      </c>
      <c r="AZ23" s="745">
        <f t="shared" si="2"/>
        <v>31579.650000000005</v>
      </c>
      <c r="BA23" s="797">
        <f t="shared" si="3"/>
        <v>5019.3500000000004</v>
      </c>
    </row>
    <row r="24" spans="1:53" x14ac:dyDescent="0.3">
      <c r="A24" s="179" t="s">
        <v>94</v>
      </c>
      <c r="B24" s="180">
        <f>136</f>
        <v>136</v>
      </c>
      <c r="C24" s="867"/>
      <c r="D24" s="186"/>
      <c r="E24" s="182"/>
      <c r="F24" s="181"/>
      <c r="G24" s="182"/>
      <c r="H24" s="181"/>
      <c r="I24" s="182"/>
      <c r="J24" s="181">
        <v>284.89999999999998</v>
      </c>
      <c r="K24" s="320"/>
      <c r="L24" s="186"/>
      <c r="M24" s="182"/>
      <c r="N24" s="181">
        <v>3</v>
      </c>
      <c r="O24" s="320">
        <v>74</v>
      </c>
      <c r="P24" s="186"/>
      <c r="Q24" s="182"/>
      <c r="R24" s="181"/>
      <c r="S24" s="320"/>
      <c r="T24" s="186"/>
      <c r="U24" s="182"/>
      <c r="V24" s="181"/>
      <c r="W24" s="182"/>
      <c r="X24" s="181">
        <v>534.74</v>
      </c>
      <c r="Y24" s="320"/>
      <c r="Z24" s="321"/>
      <c r="AA24" s="533"/>
      <c r="AB24" s="181"/>
      <c r="AC24" s="182"/>
      <c r="AD24" s="181"/>
      <c r="AE24" s="182"/>
      <c r="AF24" s="181"/>
      <c r="AG24" s="182"/>
      <c r="AH24" s="181"/>
      <c r="AI24" s="182"/>
      <c r="AJ24" s="181"/>
      <c r="AK24" s="320"/>
      <c r="AL24" s="576"/>
      <c r="AM24" s="182"/>
      <c r="AN24" s="599">
        <v>31.49</v>
      </c>
      <c r="AO24" s="882">
        <v>41</v>
      </c>
      <c r="AP24" s="322"/>
      <c r="AQ24" s="184"/>
      <c r="AR24" s="534"/>
      <c r="AS24" s="184"/>
      <c r="AT24" s="181"/>
      <c r="AU24" s="320"/>
      <c r="AV24" s="187">
        <f t="shared" si="0"/>
        <v>990.13</v>
      </c>
      <c r="AW24" s="797">
        <f t="shared" si="1"/>
        <v>115</v>
      </c>
      <c r="AX24" s="534"/>
      <c r="AY24" s="185"/>
      <c r="AZ24" s="745">
        <f t="shared" si="2"/>
        <v>990.13</v>
      </c>
      <c r="BA24" s="797">
        <f t="shared" si="3"/>
        <v>115</v>
      </c>
    </row>
    <row r="25" spans="1:53" x14ac:dyDescent="0.3">
      <c r="A25" s="179" t="s">
        <v>95</v>
      </c>
      <c r="B25" s="180">
        <v>181626</v>
      </c>
      <c r="C25" s="867"/>
      <c r="D25" s="186">
        <v>674.77</v>
      </c>
      <c r="E25" s="182">
        <v>964</v>
      </c>
      <c r="F25" s="181">
        <v>559</v>
      </c>
      <c r="G25" s="182">
        <v>515</v>
      </c>
      <c r="H25" s="181">
        <v>2450.33</v>
      </c>
      <c r="I25" s="182">
        <v>2183</v>
      </c>
      <c r="J25" s="181">
        <v>1898.11</v>
      </c>
      <c r="K25" s="320">
        <v>1789</v>
      </c>
      <c r="L25" s="186">
        <v>1201</v>
      </c>
      <c r="M25" s="182">
        <v>1631</v>
      </c>
      <c r="N25" s="181">
        <v>391</v>
      </c>
      <c r="O25" s="320">
        <v>450</v>
      </c>
      <c r="P25" s="186">
        <v>622.04999999999995</v>
      </c>
      <c r="Q25" s="182">
        <v>765</v>
      </c>
      <c r="R25" s="181">
        <v>633</v>
      </c>
      <c r="S25" s="320">
        <v>847</v>
      </c>
      <c r="T25" s="186">
        <v>147.53</v>
      </c>
      <c r="U25" s="182">
        <v>481</v>
      </c>
      <c r="V25" s="181">
        <v>4345.9799999999996</v>
      </c>
      <c r="W25" s="182">
        <v>4153</v>
      </c>
      <c r="X25" s="181">
        <v>1716.27</v>
      </c>
      <c r="Y25" s="320">
        <v>3569</v>
      </c>
      <c r="Z25" s="321">
        <v>509.48</v>
      </c>
      <c r="AA25" s="533">
        <v>633</v>
      </c>
      <c r="AB25" s="181">
        <v>1241.0999999999999</v>
      </c>
      <c r="AC25" s="182">
        <v>994.28</v>
      </c>
      <c r="AD25" s="357">
        <v>1045</v>
      </c>
      <c r="AE25" s="601">
        <v>1073</v>
      </c>
      <c r="AF25" s="181">
        <v>1716</v>
      </c>
      <c r="AG25" s="182">
        <v>2252</v>
      </c>
      <c r="AH25" s="181">
        <v>1789.7</v>
      </c>
      <c r="AI25" s="182">
        <v>1945</v>
      </c>
      <c r="AJ25" s="181">
        <v>794</v>
      </c>
      <c r="AK25" s="320">
        <v>904</v>
      </c>
      <c r="AL25" s="576"/>
      <c r="AM25" s="182"/>
      <c r="AN25" s="599">
        <v>3063.56</v>
      </c>
      <c r="AO25" s="882">
        <v>2949</v>
      </c>
      <c r="AP25" s="322">
        <v>360.04</v>
      </c>
      <c r="AQ25" s="184">
        <v>379.5</v>
      </c>
      <c r="AR25" s="534">
        <v>493.16</v>
      </c>
      <c r="AS25" s="184">
        <v>611</v>
      </c>
      <c r="AT25" s="181">
        <v>1955.68</v>
      </c>
      <c r="AU25" s="320">
        <v>3592</v>
      </c>
      <c r="AV25" s="180">
        <f t="shared" si="0"/>
        <v>209232.75999999998</v>
      </c>
      <c r="AW25" s="579">
        <f t="shared" si="1"/>
        <v>32679.78</v>
      </c>
      <c r="AX25" s="181"/>
      <c r="AY25" s="182"/>
      <c r="AZ25" s="746">
        <f t="shared" si="2"/>
        <v>209232.75999999998</v>
      </c>
      <c r="BA25" s="579">
        <f t="shared" si="3"/>
        <v>32679.78</v>
      </c>
    </row>
    <row r="26" spans="1:53" x14ac:dyDescent="0.3">
      <c r="A26" s="179" t="s">
        <v>96</v>
      </c>
      <c r="B26" s="180"/>
      <c r="C26" s="867"/>
      <c r="D26" s="186"/>
      <c r="E26" s="182"/>
      <c r="F26" s="181">
        <v>26.49</v>
      </c>
      <c r="G26" s="182">
        <v>28</v>
      </c>
      <c r="H26" s="181"/>
      <c r="I26" s="182">
        <v>819</v>
      </c>
      <c r="J26" s="181"/>
      <c r="K26" s="320"/>
      <c r="L26" s="186"/>
      <c r="M26" s="182"/>
      <c r="N26" s="181">
        <v>12</v>
      </c>
      <c r="O26" s="320">
        <v>10</v>
      </c>
      <c r="P26" s="186">
        <v>61.43</v>
      </c>
      <c r="Q26" s="182">
        <v>27</v>
      </c>
      <c r="R26" s="181">
        <v>194</v>
      </c>
      <c r="S26" s="320">
        <v>29</v>
      </c>
      <c r="T26" s="186">
        <v>7.65</v>
      </c>
      <c r="U26" s="182">
        <v>8</v>
      </c>
      <c r="V26" s="181">
        <v>165.52</v>
      </c>
      <c r="W26" s="182">
        <v>174</v>
      </c>
      <c r="X26" s="181">
        <f>297.18+165.15</f>
        <v>462.33000000000004</v>
      </c>
      <c r="Y26" s="320">
        <v>364</v>
      </c>
      <c r="Z26" s="321"/>
      <c r="AA26" s="533"/>
      <c r="AB26" s="181"/>
      <c r="AC26" s="182"/>
      <c r="AD26" s="181">
        <v>312</v>
      </c>
      <c r="AE26" s="601">
        <v>475</v>
      </c>
      <c r="AF26" s="322">
        <v>165</v>
      </c>
      <c r="AG26" s="184">
        <v>263</v>
      </c>
      <c r="AH26" s="181">
        <v>26</v>
      </c>
      <c r="AI26" s="182">
        <v>21</v>
      </c>
      <c r="AJ26" s="181"/>
      <c r="AK26" s="320"/>
      <c r="AL26" s="576"/>
      <c r="AM26" s="182"/>
      <c r="AN26" s="599">
        <v>433.79</v>
      </c>
      <c r="AO26" s="882">
        <v>780</v>
      </c>
      <c r="AP26" s="322">
        <v>11.32</v>
      </c>
      <c r="AQ26" s="184">
        <v>43.72</v>
      </c>
      <c r="AR26" s="534">
        <v>38.880000000000003</v>
      </c>
      <c r="AS26" s="184">
        <v>12</v>
      </c>
      <c r="AT26" s="181"/>
      <c r="AU26" s="320"/>
      <c r="AV26" s="187">
        <f t="shared" si="0"/>
        <v>1916.41</v>
      </c>
      <c r="AW26" s="797">
        <f t="shared" si="1"/>
        <v>3053.72</v>
      </c>
      <c r="AX26" s="534">
        <v>54730.3</v>
      </c>
      <c r="AY26" s="185">
        <v>48322</v>
      </c>
      <c r="AZ26" s="745">
        <f t="shared" si="2"/>
        <v>56646.710000000006</v>
      </c>
      <c r="BA26" s="797">
        <f t="shared" si="3"/>
        <v>51375.72</v>
      </c>
    </row>
    <row r="27" spans="1:53" x14ac:dyDescent="0.3">
      <c r="A27" s="179" t="s">
        <v>97</v>
      </c>
      <c r="B27" s="180">
        <v>47892</v>
      </c>
      <c r="C27" s="867"/>
      <c r="D27" s="186">
        <v>146.52000000000001</v>
      </c>
      <c r="E27" s="182">
        <v>4</v>
      </c>
      <c r="F27" s="181"/>
      <c r="G27" s="182">
        <v>87</v>
      </c>
      <c r="H27" s="181">
        <v>1213.95</v>
      </c>
      <c r="I27" s="182">
        <v>2517</v>
      </c>
      <c r="J27" s="181">
        <v>186.16</v>
      </c>
      <c r="K27" s="320">
        <v>100</v>
      </c>
      <c r="L27" s="186">
        <v>129</v>
      </c>
      <c r="M27" s="182">
        <v>359</v>
      </c>
      <c r="N27" s="181">
        <v>162</v>
      </c>
      <c r="O27" s="320">
        <v>158</v>
      </c>
      <c r="P27" s="186">
        <v>59.52</v>
      </c>
      <c r="Q27" s="182">
        <v>40</v>
      </c>
      <c r="R27" s="181">
        <v>249</v>
      </c>
      <c r="S27" s="320">
        <v>400</v>
      </c>
      <c r="T27" s="186"/>
      <c r="U27" s="182">
        <v>106</v>
      </c>
      <c r="V27" s="181">
        <v>2007.5</v>
      </c>
      <c r="W27" s="182">
        <v>2668</v>
      </c>
      <c r="X27" s="181">
        <v>2632.1</v>
      </c>
      <c r="Y27" s="320">
        <v>3309</v>
      </c>
      <c r="Z27" s="321">
        <v>32.01</v>
      </c>
      <c r="AA27" s="533">
        <v>52</v>
      </c>
      <c r="AB27" s="181">
        <v>1278.1099999999999</v>
      </c>
      <c r="AC27" s="182">
        <v>451.54</v>
      </c>
      <c r="AD27" s="181">
        <v>949</v>
      </c>
      <c r="AE27" s="601">
        <v>1243</v>
      </c>
      <c r="AF27" s="322">
        <v>1281</v>
      </c>
      <c r="AG27" s="184">
        <v>1264</v>
      </c>
      <c r="AH27" s="181">
        <v>1206</v>
      </c>
      <c r="AI27" s="182">
        <v>791</v>
      </c>
      <c r="AJ27" s="181">
        <v>63</v>
      </c>
      <c r="AK27" s="320">
        <v>67</v>
      </c>
      <c r="AL27" s="576"/>
      <c r="AM27" s="182"/>
      <c r="AN27" s="599">
        <v>1734.22</v>
      </c>
      <c r="AO27" s="882">
        <v>1972</v>
      </c>
      <c r="AP27" s="322">
        <v>228.79</v>
      </c>
      <c r="AQ27" s="184">
        <v>102.68</v>
      </c>
      <c r="AR27" s="534">
        <v>95</v>
      </c>
      <c r="AS27" s="184">
        <v>1412</v>
      </c>
      <c r="AT27" s="181">
        <v>949.93</v>
      </c>
      <c r="AU27" s="320">
        <v>1676</v>
      </c>
      <c r="AV27" s="187">
        <f t="shared" si="0"/>
        <v>62494.81</v>
      </c>
      <c r="AW27" s="797">
        <f t="shared" si="1"/>
        <v>18779.22</v>
      </c>
      <c r="AX27" s="534">
        <v>8233.09</v>
      </c>
      <c r="AY27" s="185">
        <v>8298</v>
      </c>
      <c r="AZ27" s="745">
        <f t="shared" si="2"/>
        <v>70727.899999999994</v>
      </c>
      <c r="BA27" s="797">
        <f t="shared" si="3"/>
        <v>27077.22</v>
      </c>
    </row>
    <row r="28" spans="1:53" x14ac:dyDescent="0.3">
      <c r="A28" s="179" t="s">
        <v>98</v>
      </c>
      <c r="B28" s="180">
        <v>86767</v>
      </c>
      <c r="C28" s="867"/>
      <c r="D28" s="186">
        <v>889.92</v>
      </c>
      <c r="E28" s="182">
        <v>712</v>
      </c>
      <c r="F28" s="181">
        <v>217.01</v>
      </c>
      <c r="G28" s="182">
        <v>273</v>
      </c>
      <c r="H28" s="181">
        <v>1011.29</v>
      </c>
      <c r="I28" s="182">
        <v>1041</v>
      </c>
      <c r="J28" s="181">
        <v>258.31</v>
      </c>
      <c r="K28" s="320">
        <v>290</v>
      </c>
      <c r="L28" s="186">
        <v>406</v>
      </c>
      <c r="M28" s="182">
        <v>447</v>
      </c>
      <c r="N28" s="181">
        <v>368</v>
      </c>
      <c r="O28" s="320">
        <v>177</v>
      </c>
      <c r="P28" s="186">
        <v>786.63</v>
      </c>
      <c r="Q28" s="182">
        <v>800</v>
      </c>
      <c r="R28" s="181">
        <v>396.16</v>
      </c>
      <c r="S28" s="320">
        <v>322</v>
      </c>
      <c r="T28" s="186">
        <v>567.76</v>
      </c>
      <c r="U28" s="182">
        <v>520</v>
      </c>
      <c r="V28" s="181">
        <v>1210.56</v>
      </c>
      <c r="W28" s="182">
        <v>1296</v>
      </c>
      <c r="X28" s="181">
        <v>2143.87</v>
      </c>
      <c r="Y28" s="320">
        <v>1746</v>
      </c>
      <c r="Z28" s="321">
        <v>195.16</v>
      </c>
      <c r="AA28" s="533">
        <v>185</v>
      </c>
      <c r="AB28" s="181">
        <v>407.89</v>
      </c>
      <c r="AC28" s="182">
        <v>321.42</v>
      </c>
      <c r="AD28" s="181">
        <v>1111</v>
      </c>
      <c r="AE28" s="601">
        <v>1166</v>
      </c>
      <c r="AF28" s="322">
        <v>2144</v>
      </c>
      <c r="AG28" s="184">
        <v>2901</v>
      </c>
      <c r="AH28" s="181">
        <v>1011.09</v>
      </c>
      <c r="AI28" s="182">
        <v>1103</v>
      </c>
      <c r="AJ28" s="181">
        <v>902</v>
      </c>
      <c r="AK28" s="320">
        <v>946</v>
      </c>
      <c r="AL28" s="576"/>
      <c r="AM28" s="182"/>
      <c r="AN28" s="599">
        <v>1945.35</v>
      </c>
      <c r="AO28" s="882">
        <v>1668</v>
      </c>
      <c r="AP28" s="322">
        <v>507.2</v>
      </c>
      <c r="AQ28" s="184">
        <v>389.28</v>
      </c>
      <c r="AR28" s="534">
        <v>274</v>
      </c>
      <c r="AS28" s="184">
        <v>388</v>
      </c>
      <c r="AT28" s="181">
        <v>1338.27</v>
      </c>
      <c r="AU28" s="320">
        <v>1542</v>
      </c>
      <c r="AV28" s="187">
        <f t="shared" si="0"/>
        <v>104858.46999999999</v>
      </c>
      <c r="AW28" s="797">
        <f t="shared" si="1"/>
        <v>18233.7</v>
      </c>
      <c r="AX28" s="534">
        <v>10809.8</v>
      </c>
      <c r="AY28" s="185">
        <v>11011</v>
      </c>
      <c r="AZ28" s="745">
        <f t="shared" si="2"/>
        <v>115668.26999999999</v>
      </c>
      <c r="BA28" s="797">
        <f t="shared" si="3"/>
        <v>29244.7</v>
      </c>
    </row>
    <row r="29" spans="1:53" x14ac:dyDescent="0.3">
      <c r="A29" s="179" t="s">
        <v>99</v>
      </c>
      <c r="B29" s="180">
        <v>5751</v>
      </c>
      <c r="C29" s="867"/>
      <c r="D29" s="186"/>
      <c r="E29" s="182"/>
      <c r="F29" s="181"/>
      <c r="G29" s="182"/>
      <c r="H29" s="181"/>
      <c r="I29" s="182"/>
      <c r="J29" s="181">
        <v>-0.12</v>
      </c>
      <c r="K29" s="320"/>
      <c r="L29" s="186"/>
      <c r="M29" s="182"/>
      <c r="N29" s="181">
        <v>1</v>
      </c>
      <c r="O29" s="320"/>
      <c r="P29" s="186"/>
      <c r="Q29" s="182"/>
      <c r="R29" s="181"/>
      <c r="S29" s="320"/>
      <c r="T29" s="186"/>
      <c r="U29" s="182"/>
      <c r="V29" s="181"/>
      <c r="W29" s="182"/>
      <c r="X29" s="181">
        <v>-6.9</v>
      </c>
      <c r="Y29" s="320"/>
      <c r="Z29" s="321"/>
      <c r="AA29" s="533"/>
      <c r="AB29" s="181"/>
      <c r="AC29" s="182"/>
      <c r="AD29" s="181"/>
      <c r="AE29" s="601"/>
      <c r="AF29" s="322"/>
      <c r="AG29" s="184"/>
      <c r="AH29" s="181"/>
      <c r="AI29" s="182"/>
      <c r="AJ29" s="181"/>
      <c r="AK29" s="320"/>
      <c r="AL29" s="576"/>
      <c r="AM29" s="182"/>
      <c r="AN29" s="599"/>
      <c r="AO29" s="882"/>
      <c r="AP29" s="322"/>
      <c r="AQ29" s="184"/>
      <c r="AR29" s="534"/>
      <c r="AS29" s="184"/>
      <c r="AT29" s="181"/>
      <c r="AU29" s="320"/>
      <c r="AV29" s="187">
        <f t="shared" si="0"/>
        <v>5744.9800000000005</v>
      </c>
      <c r="AW29" s="797">
        <f t="shared" si="1"/>
        <v>0</v>
      </c>
      <c r="AX29" s="534"/>
      <c r="AY29" s="185"/>
      <c r="AZ29" s="745">
        <f t="shared" si="2"/>
        <v>5744.9800000000005</v>
      </c>
      <c r="BA29" s="797">
        <f t="shared" si="3"/>
        <v>0</v>
      </c>
    </row>
    <row r="30" spans="1:53" x14ac:dyDescent="0.3">
      <c r="A30" s="179" t="s">
        <v>100</v>
      </c>
      <c r="B30" s="180">
        <v>1200</v>
      </c>
      <c r="C30" s="867"/>
      <c r="D30" s="186"/>
      <c r="E30" s="182"/>
      <c r="F30" s="181"/>
      <c r="G30" s="182"/>
      <c r="H30" s="181"/>
      <c r="I30" s="182"/>
      <c r="J30" s="181"/>
      <c r="K30" s="320"/>
      <c r="L30" s="186"/>
      <c r="M30" s="182"/>
      <c r="N30" s="181"/>
      <c r="O30" s="320"/>
      <c r="P30" s="186"/>
      <c r="Q30" s="182"/>
      <c r="R30" s="181"/>
      <c r="S30" s="320"/>
      <c r="T30" s="186"/>
      <c r="U30" s="182"/>
      <c r="V30" s="181"/>
      <c r="W30" s="182"/>
      <c r="X30" s="181"/>
      <c r="Y30" s="320"/>
      <c r="Z30" s="321"/>
      <c r="AA30" s="533"/>
      <c r="AB30" s="181"/>
      <c r="AC30" s="182"/>
      <c r="AD30" s="181"/>
      <c r="AE30" s="601"/>
      <c r="AF30" s="322"/>
      <c r="AG30" s="184"/>
      <c r="AH30" s="181"/>
      <c r="AI30" s="182"/>
      <c r="AJ30" s="181"/>
      <c r="AK30" s="320"/>
      <c r="AL30" s="576"/>
      <c r="AM30" s="182"/>
      <c r="AN30" s="599"/>
      <c r="AO30" s="882"/>
      <c r="AP30" s="322"/>
      <c r="AQ30" s="184"/>
      <c r="AR30" s="534"/>
      <c r="AS30" s="184"/>
      <c r="AT30" s="181"/>
      <c r="AU30" s="320"/>
      <c r="AV30" s="187">
        <f t="shared" si="0"/>
        <v>1200</v>
      </c>
      <c r="AW30" s="797">
        <f t="shared" si="1"/>
        <v>0</v>
      </c>
      <c r="AX30" s="534"/>
      <c r="AY30" s="185"/>
      <c r="AZ30" s="745">
        <f t="shared" si="2"/>
        <v>1200</v>
      </c>
      <c r="BA30" s="797">
        <f t="shared" si="3"/>
        <v>0</v>
      </c>
    </row>
    <row r="31" spans="1:53" x14ac:dyDescent="0.3">
      <c r="A31" s="179" t="s">
        <v>101</v>
      </c>
      <c r="B31" s="180"/>
      <c r="C31" s="867"/>
      <c r="D31" s="186">
        <v>6.46</v>
      </c>
      <c r="E31" s="182">
        <v>6</v>
      </c>
      <c r="F31" s="181"/>
      <c r="G31" s="182">
        <v>52</v>
      </c>
      <c r="H31" s="181">
        <v>690.64</v>
      </c>
      <c r="I31" s="872">
        <v>1423</v>
      </c>
      <c r="J31" s="181"/>
      <c r="K31" s="320"/>
      <c r="L31" s="186">
        <v>252</v>
      </c>
      <c r="M31" s="182">
        <v>407</v>
      </c>
      <c r="N31" s="181">
        <v>55</v>
      </c>
      <c r="O31" s="320">
        <v>115</v>
      </c>
      <c r="P31" s="186">
        <v>900.36</v>
      </c>
      <c r="Q31" s="182">
        <v>1138</v>
      </c>
      <c r="R31" s="181">
        <v>2635</v>
      </c>
      <c r="S31" s="320">
        <v>3655</v>
      </c>
      <c r="T31" s="186"/>
      <c r="U31" s="182">
        <v>1818</v>
      </c>
      <c r="V31" s="181">
        <v>-1253</v>
      </c>
      <c r="W31" s="182">
        <v>7516</v>
      </c>
      <c r="X31" s="181"/>
      <c r="Y31" s="320">
        <v>200</v>
      </c>
      <c r="Z31" s="321">
        <v>165.34</v>
      </c>
      <c r="AA31" s="533">
        <v>395</v>
      </c>
      <c r="AB31" s="181">
        <v>2488.67</v>
      </c>
      <c r="AC31" s="182">
        <v>6767.29</v>
      </c>
      <c r="AD31" s="181">
        <v>60</v>
      </c>
      <c r="AE31" s="601">
        <v>1467</v>
      </c>
      <c r="AF31" s="322">
        <v>453</v>
      </c>
      <c r="AG31" s="184">
        <v>1260</v>
      </c>
      <c r="AH31" s="181">
        <v>615.39</v>
      </c>
      <c r="AI31" s="182">
        <v>1941</v>
      </c>
      <c r="AJ31" s="181">
        <v>457</v>
      </c>
      <c r="AK31" s="320">
        <v>488</v>
      </c>
      <c r="AL31" s="576"/>
      <c r="AM31" s="182"/>
      <c r="AN31" s="599"/>
      <c r="AO31" s="882">
        <v>5061</v>
      </c>
      <c r="AP31" s="322">
        <v>865.94</v>
      </c>
      <c r="AQ31" s="184">
        <v>1182.54</v>
      </c>
      <c r="AR31" s="534">
        <v>73</v>
      </c>
      <c r="AS31" s="184">
        <v>499</v>
      </c>
      <c r="AT31" s="181">
        <f>455.72-2.93</f>
        <v>452.79</v>
      </c>
      <c r="AU31" s="320">
        <v>2124</v>
      </c>
      <c r="AV31" s="187">
        <f t="shared" si="0"/>
        <v>8917.590000000002</v>
      </c>
      <c r="AW31" s="797">
        <f t="shared" si="1"/>
        <v>37514.83</v>
      </c>
      <c r="AX31" s="534"/>
      <c r="AY31" s="185"/>
      <c r="AZ31" s="745">
        <f t="shared" si="2"/>
        <v>8917.590000000002</v>
      </c>
      <c r="BA31" s="797">
        <f t="shared" si="3"/>
        <v>37514.83</v>
      </c>
    </row>
    <row r="32" spans="1:53" x14ac:dyDescent="0.3">
      <c r="A32" s="179" t="s">
        <v>102</v>
      </c>
      <c r="B32" s="180"/>
      <c r="C32" s="867"/>
      <c r="D32" s="186">
        <v>97.22</v>
      </c>
      <c r="E32" s="182">
        <v>158</v>
      </c>
      <c r="F32" s="181"/>
      <c r="G32" s="182"/>
      <c r="H32" s="181"/>
      <c r="I32" s="182"/>
      <c r="J32" s="181"/>
      <c r="K32" s="320"/>
      <c r="L32" s="186"/>
      <c r="M32" s="182"/>
      <c r="N32" s="181"/>
      <c r="O32" s="320"/>
      <c r="P32" s="186">
        <v>288.39</v>
      </c>
      <c r="Q32" s="182">
        <v>269</v>
      </c>
      <c r="R32" s="181"/>
      <c r="S32" s="320"/>
      <c r="T32" s="186"/>
      <c r="U32" s="182"/>
      <c r="V32" s="181"/>
      <c r="W32" s="182"/>
      <c r="X32" s="181"/>
      <c r="Y32" s="320"/>
      <c r="Z32" s="321"/>
      <c r="AA32" s="533"/>
      <c r="AB32" s="181"/>
      <c r="AC32" s="182"/>
      <c r="AD32" s="181"/>
      <c r="AE32" s="601"/>
      <c r="AF32" s="322"/>
      <c r="AG32" s="184"/>
      <c r="AH32" s="181"/>
      <c r="AI32" s="182"/>
      <c r="AJ32" s="181"/>
      <c r="AK32" s="320"/>
      <c r="AL32" s="576"/>
      <c r="AM32" s="182"/>
      <c r="AN32" s="599"/>
      <c r="AO32" s="882"/>
      <c r="AP32" s="322"/>
      <c r="AQ32" s="184"/>
      <c r="AR32" s="534"/>
      <c r="AS32" s="184"/>
      <c r="AT32" s="181"/>
      <c r="AU32" s="320"/>
      <c r="AV32" s="187">
        <f t="shared" si="0"/>
        <v>385.61</v>
      </c>
      <c r="AW32" s="797">
        <f t="shared" si="1"/>
        <v>427</v>
      </c>
      <c r="AX32" s="534"/>
      <c r="AY32" s="185"/>
      <c r="AZ32" s="745">
        <f t="shared" si="2"/>
        <v>385.61</v>
      </c>
      <c r="BA32" s="797">
        <f t="shared" si="3"/>
        <v>427</v>
      </c>
    </row>
    <row r="33" spans="1:53" x14ac:dyDescent="0.3">
      <c r="A33" s="179" t="s">
        <v>103</v>
      </c>
      <c r="B33" s="180"/>
      <c r="C33" s="867"/>
      <c r="D33" s="186">
        <v>15.71</v>
      </c>
      <c r="E33" s="182">
        <v>12</v>
      </c>
      <c r="F33" s="181"/>
      <c r="G33" s="182"/>
      <c r="H33" s="181"/>
      <c r="I33" s="182"/>
      <c r="J33" s="181">
        <f>210.82</f>
        <v>210.82</v>
      </c>
      <c r="K33" s="320"/>
      <c r="L33" s="186"/>
      <c r="M33" s="182"/>
      <c r="N33" s="181"/>
      <c r="O33" s="320"/>
      <c r="P33" s="186"/>
      <c r="Q33" s="182"/>
      <c r="R33" s="181"/>
      <c r="S33" s="320"/>
      <c r="T33" s="186"/>
      <c r="U33" s="182"/>
      <c r="V33" s="181">
        <v>2011</v>
      </c>
      <c r="W33" s="182">
        <v>2577</v>
      </c>
      <c r="X33" s="181"/>
      <c r="Y33" s="320">
        <v>537</v>
      </c>
      <c r="Z33" s="321"/>
      <c r="AA33" s="533"/>
      <c r="AB33" s="181">
        <v>66.48</v>
      </c>
      <c r="AC33" s="182">
        <v>86.15</v>
      </c>
      <c r="AD33" s="181">
        <v>575</v>
      </c>
      <c r="AE33" s="601">
        <v>139</v>
      </c>
      <c r="AF33" s="322"/>
      <c r="AG33" s="184"/>
      <c r="AH33" s="181">
        <v>240.96</v>
      </c>
      <c r="AI33" s="182">
        <v>300</v>
      </c>
      <c r="AJ33" s="181"/>
      <c r="AK33" s="320"/>
      <c r="AL33" s="576"/>
      <c r="AM33" s="182"/>
      <c r="AN33" s="599"/>
      <c r="AO33" s="882"/>
      <c r="AP33" s="322"/>
      <c r="AQ33" s="184"/>
      <c r="AR33" s="534"/>
      <c r="AS33" s="184"/>
      <c r="AT33" s="181"/>
      <c r="AU33" s="320"/>
      <c r="AV33" s="187">
        <f t="shared" si="0"/>
        <v>3119.9700000000003</v>
      </c>
      <c r="AW33" s="797">
        <f t="shared" si="1"/>
        <v>3651.15</v>
      </c>
      <c r="AX33" s="534"/>
      <c r="AY33" s="185"/>
      <c r="AZ33" s="745">
        <f t="shared" si="2"/>
        <v>3119.9700000000003</v>
      </c>
      <c r="BA33" s="797">
        <f t="shared" si="3"/>
        <v>3651.15</v>
      </c>
    </row>
    <row r="34" spans="1:53" x14ac:dyDescent="0.3">
      <c r="A34" s="179" t="s">
        <v>104</v>
      </c>
      <c r="B34" s="180">
        <v>16465</v>
      </c>
      <c r="C34" s="867"/>
      <c r="D34" s="186">
        <v>3.01</v>
      </c>
      <c r="E34" s="182">
        <v>4</v>
      </c>
      <c r="F34" s="181">
        <v>59.35</v>
      </c>
      <c r="G34" s="182">
        <v>74</v>
      </c>
      <c r="H34" s="181">
        <v>247.11</v>
      </c>
      <c r="I34" s="182">
        <v>239</v>
      </c>
      <c r="J34" s="181">
        <v>67.3</v>
      </c>
      <c r="K34" s="320">
        <v>105</v>
      </c>
      <c r="L34" s="186"/>
      <c r="M34" s="182"/>
      <c r="N34" s="181">
        <v>43</v>
      </c>
      <c r="O34" s="320">
        <v>71</v>
      </c>
      <c r="P34" s="186"/>
      <c r="Q34" s="182"/>
      <c r="R34" s="181"/>
      <c r="S34" s="320"/>
      <c r="T34" s="186"/>
      <c r="U34" s="182"/>
      <c r="V34" s="181"/>
      <c r="W34" s="182"/>
      <c r="X34" s="181">
        <v>398.23</v>
      </c>
      <c r="Y34" s="320"/>
      <c r="Z34" s="321">
        <v>35.549999999999997</v>
      </c>
      <c r="AA34" s="533">
        <v>49</v>
      </c>
      <c r="AB34" s="181"/>
      <c r="AC34" s="182"/>
      <c r="AD34" s="181">
        <v>186</v>
      </c>
      <c r="AE34" s="601">
        <v>216</v>
      </c>
      <c r="AF34" s="322">
        <v>398</v>
      </c>
      <c r="AG34" s="184">
        <v>431</v>
      </c>
      <c r="AH34" s="181"/>
      <c r="AI34" s="182"/>
      <c r="AJ34" s="181"/>
      <c r="AK34" s="320"/>
      <c r="AL34" s="576"/>
      <c r="AM34" s="182"/>
      <c r="AN34" s="599"/>
      <c r="AO34" s="882"/>
      <c r="AP34" s="322"/>
      <c r="AQ34" s="184"/>
      <c r="AR34" s="534"/>
      <c r="AS34" s="184"/>
      <c r="AT34" s="181"/>
      <c r="AU34" s="320"/>
      <c r="AV34" s="187">
        <f t="shared" si="0"/>
        <v>17902.549999999996</v>
      </c>
      <c r="AW34" s="797">
        <f t="shared" si="1"/>
        <v>1189</v>
      </c>
      <c r="AX34" s="534">
        <v>4876.62</v>
      </c>
      <c r="AY34" s="185">
        <v>5886</v>
      </c>
      <c r="AZ34" s="745">
        <f t="shared" si="2"/>
        <v>22779.169999999995</v>
      </c>
      <c r="BA34" s="797">
        <f t="shared" si="3"/>
        <v>7075</v>
      </c>
    </row>
    <row r="35" spans="1:53" x14ac:dyDescent="0.3">
      <c r="A35" s="179" t="s">
        <v>105</v>
      </c>
      <c r="B35" s="180">
        <v>11772</v>
      </c>
      <c r="C35" s="867"/>
      <c r="D35" s="186">
        <v>14.58</v>
      </c>
      <c r="E35" s="182">
        <v>12</v>
      </c>
      <c r="F35" s="181">
        <v>63.62</v>
      </c>
      <c r="G35" s="182">
        <v>2</v>
      </c>
      <c r="H35" s="181"/>
      <c r="I35" s="182"/>
      <c r="J35" s="181"/>
      <c r="K35" s="320">
        <v>630</v>
      </c>
      <c r="L35" s="186"/>
      <c r="M35" s="182"/>
      <c r="N35" s="181"/>
      <c r="O35" s="320"/>
      <c r="P35" s="186"/>
      <c r="Q35" s="182"/>
      <c r="R35" s="181"/>
      <c r="S35" s="320"/>
      <c r="T35" s="186"/>
      <c r="U35" s="182"/>
      <c r="V35" s="181"/>
      <c r="W35" s="182"/>
      <c r="X35" s="181"/>
      <c r="Y35" s="320"/>
      <c r="Z35" s="321"/>
      <c r="AA35" s="533"/>
      <c r="AB35" s="181"/>
      <c r="AC35" s="182"/>
      <c r="AD35" s="181">
        <v>95</v>
      </c>
      <c r="AE35" s="601">
        <v>91</v>
      </c>
      <c r="AF35" s="322">
        <v>535</v>
      </c>
      <c r="AG35" s="184">
        <v>721</v>
      </c>
      <c r="AH35" s="181">
        <v>39.369999999999997</v>
      </c>
      <c r="AI35" s="182">
        <v>126</v>
      </c>
      <c r="AJ35" s="181"/>
      <c r="AK35" s="320"/>
      <c r="AL35" s="576"/>
      <c r="AM35" s="182"/>
      <c r="AN35" s="599"/>
      <c r="AO35" s="882"/>
      <c r="AP35" s="322"/>
      <c r="AQ35" s="184"/>
      <c r="AR35" s="534"/>
      <c r="AS35" s="184"/>
      <c r="AT35" s="188"/>
      <c r="AU35" s="188"/>
      <c r="AV35" s="187">
        <f t="shared" si="0"/>
        <v>12519.570000000002</v>
      </c>
      <c r="AW35" s="797">
        <f t="shared" si="1"/>
        <v>1582</v>
      </c>
      <c r="AX35" s="534"/>
      <c r="AY35" s="185"/>
      <c r="AZ35" s="745">
        <f t="shared" si="2"/>
        <v>12519.570000000002</v>
      </c>
      <c r="BA35" s="797">
        <f t="shared" si="3"/>
        <v>1582</v>
      </c>
    </row>
    <row r="36" spans="1:53" x14ac:dyDescent="0.3">
      <c r="A36" s="179" t="s">
        <v>106</v>
      </c>
      <c r="B36" s="180">
        <v>20618</v>
      </c>
      <c r="C36" s="867"/>
      <c r="D36" s="186">
        <v>25.43</v>
      </c>
      <c r="E36" s="182">
        <v>22</v>
      </c>
      <c r="F36" s="181">
        <v>11.44</v>
      </c>
      <c r="G36" s="182">
        <v>2</v>
      </c>
      <c r="H36" s="181">
        <v>296.17</v>
      </c>
      <c r="I36" s="182"/>
      <c r="J36" s="181">
        <f>36.2+38.61+14.3+5.78</f>
        <v>94.89</v>
      </c>
      <c r="K36" s="320">
        <f>91+223-2+40+15+252+43</f>
        <v>662</v>
      </c>
      <c r="L36" s="186">
        <v>508</v>
      </c>
      <c r="M36" s="182">
        <v>538</v>
      </c>
      <c r="N36" s="181">
        <f>40+27+54</f>
        <v>121</v>
      </c>
      <c r="O36" s="320">
        <f>66+31+71</f>
        <v>168</v>
      </c>
      <c r="P36" s="186">
        <v>74.53</v>
      </c>
      <c r="Q36" s="182">
        <v>85</v>
      </c>
      <c r="R36" s="181">
        <v>547</v>
      </c>
      <c r="S36" s="320">
        <v>676</v>
      </c>
      <c r="T36" s="186">
        <f>7.85+38.44</f>
        <v>46.29</v>
      </c>
      <c r="U36" s="182">
        <f>16+54</f>
        <v>70</v>
      </c>
      <c r="V36" s="181">
        <v>3062</v>
      </c>
      <c r="W36" s="182">
        <f>3758</f>
        <v>3758</v>
      </c>
      <c r="X36" s="181">
        <f>104.83+20.65+262.95</f>
        <v>388.42999999999995</v>
      </c>
      <c r="Y36" s="320">
        <f>-7+4468+1203+459</f>
        <v>6123</v>
      </c>
      <c r="Z36" s="321">
        <f>105.82+21.38</f>
        <v>127.19999999999999</v>
      </c>
      <c r="AA36" s="533">
        <f>74+119+29</f>
        <v>222</v>
      </c>
      <c r="AB36" s="181">
        <v>34.5</v>
      </c>
      <c r="AC36" s="182">
        <v>34.5</v>
      </c>
      <c r="AD36" s="357">
        <f>346+102</f>
        <v>448</v>
      </c>
      <c r="AE36" s="601">
        <f>213+146</f>
        <v>359</v>
      </c>
      <c r="AF36" s="322">
        <f>297+21+263+2726+105-7</f>
        <v>3405</v>
      </c>
      <c r="AG36" s="184">
        <f>505+28+384+2558+3+146</f>
        <v>3624</v>
      </c>
      <c r="AH36" s="181">
        <v>169.64</v>
      </c>
      <c r="AI36" s="182">
        <v>-66</v>
      </c>
      <c r="AJ36" s="181">
        <f>209+583+193</f>
        <v>985</v>
      </c>
      <c r="AK36" s="320">
        <f>146+614+25</f>
        <v>785</v>
      </c>
      <c r="AL36" s="576"/>
      <c r="AM36" s="182"/>
      <c r="AN36" s="599">
        <v>1695.31</v>
      </c>
      <c r="AO36" s="882">
        <f>530+1756</f>
        <v>2286</v>
      </c>
      <c r="AP36" s="322">
        <f>518.33+431.41</f>
        <v>949.74</v>
      </c>
      <c r="AQ36" s="184">
        <f>568.54+25</f>
        <v>593.54</v>
      </c>
      <c r="AR36" s="534">
        <v>67.989999999999995</v>
      </c>
      <c r="AS36" s="184">
        <v>106</v>
      </c>
      <c r="AT36" s="181">
        <f>49.5+259</f>
        <v>308.5</v>
      </c>
      <c r="AU36" s="320">
        <f>54+385</f>
        <v>439</v>
      </c>
      <c r="AV36" s="180">
        <f t="shared" si="0"/>
        <v>33984.06</v>
      </c>
      <c r="AW36" s="579">
        <f t="shared" si="1"/>
        <v>20487.04</v>
      </c>
      <c r="AX36" s="181">
        <f>1354.02+109.33+8093.21+901.17+27168-137</f>
        <v>37488.729999999996</v>
      </c>
      <c r="AY36" s="182">
        <f>29095+1505+421+96.8+11431+280</f>
        <v>42828.800000000003</v>
      </c>
      <c r="AZ36" s="746">
        <f t="shared" si="2"/>
        <v>71472.789999999994</v>
      </c>
      <c r="BA36" s="579">
        <f t="shared" si="3"/>
        <v>63315.840000000004</v>
      </c>
    </row>
    <row r="37" spans="1:53" ht="17.25" thickBot="1" x14ac:dyDescent="0.35">
      <c r="A37" s="191" t="s">
        <v>107</v>
      </c>
      <c r="B37" s="193">
        <v>63657</v>
      </c>
      <c r="C37" s="868"/>
      <c r="D37" s="870"/>
      <c r="E37" s="192"/>
      <c r="F37" s="194"/>
      <c r="G37" s="192"/>
      <c r="H37" s="194">
        <v>394.36</v>
      </c>
      <c r="I37" s="192">
        <f>373+495+3</f>
        <v>871</v>
      </c>
      <c r="J37" s="194"/>
      <c r="K37" s="873"/>
      <c r="L37" s="870"/>
      <c r="M37" s="192"/>
      <c r="N37" s="194"/>
      <c r="O37" s="873"/>
      <c r="P37" s="870"/>
      <c r="Q37" s="192"/>
      <c r="R37" s="194"/>
      <c r="S37" s="873"/>
      <c r="T37" s="870">
        <v>88.45</v>
      </c>
      <c r="U37" s="192">
        <v>230</v>
      </c>
      <c r="V37" s="194"/>
      <c r="W37" s="192"/>
      <c r="X37" s="194"/>
      <c r="Y37" s="873"/>
      <c r="Z37" s="875"/>
      <c r="AA37" s="876"/>
      <c r="AB37" s="194"/>
      <c r="AC37" s="192"/>
      <c r="AD37" s="602"/>
      <c r="AE37" s="878"/>
      <c r="AF37" s="323"/>
      <c r="AG37" s="879"/>
      <c r="AH37" s="194"/>
      <c r="AI37" s="192"/>
      <c r="AJ37" s="194"/>
      <c r="AK37" s="873"/>
      <c r="AL37" s="880"/>
      <c r="AM37" s="192"/>
      <c r="AN37" s="600"/>
      <c r="AO37" s="884"/>
      <c r="AP37" s="323"/>
      <c r="AQ37" s="879"/>
      <c r="AR37" s="886"/>
      <c r="AS37" s="887"/>
      <c r="AT37" s="194"/>
      <c r="AU37" s="873"/>
      <c r="AV37" s="193">
        <f t="shared" si="0"/>
        <v>64139.81</v>
      </c>
      <c r="AW37" s="734">
        <f t="shared" si="1"/>
        <v>1101</v>
      </c>
      <c r="AX37" s="194"/>
      <c r="AY37" s="192"/>
      <c r="AZ37" s="747">
        <f t="shared" si="2"/>
        <v>64139.81</v>
      </c>
      <c r="BA37" s="734">
        <f t="shared" si="3"/>
        <v>1101</v>
      </c>
    </row>
    <row r="38" spans="1:53" s="988" customFormat="1" ht="18.75" thickBot="1" x14ac:dyDescent="0.4">
      <c r="A38" s="981" t="s">
        <v>54</v>
      </c>
      <c r="B38" s="982">
        <f>SUM(B5:B37)</f>
        <v>2837232</v>
      </c>
      <c r="C38" s="983">
        <f t="shared" ref="C38:AH38" si="4">SUM(C5:C37)</f>
        <v>0</v>
      </c>
      <c r="D38" s="982">
        <f t="shared" si="4"/>
        <v>4562.0800000000008</v>
      </c>
      <c r="E38" s="984">
        <f t="shared" si="4"/>
        <v>3891</v>
      </c>
      <c r="F38" s="985">
        <f t="shared" si="4"/>
        <v>6576.46</v>
      </c>
      <c r="G38" s="984">
        <f t="shared" si="4"/>
        <v>6808</v>
      </c>
      <c r="H38" s="985">
        <f t="shared" si="4"/>
        <v>52484.540000000015</v>
      </c>
      <c r="I38" s="984">
        <f t="shared" si="4"/>
        <v>77653</v>
      </c>
      <c r="J38" s="985">
        <f t="shared" si="4"/>
        <v>18488.969999999998</v>
      </c>
      <c r="K38" s="983">
        <f t="shared" si="4"/>
        <v>23590</v>
      </c>
      <c r="L38" s="982">
        <f t="shared" si="4"/>
        <v>14994.3</v>
      </c>
      <c r="M38" s="984">
        <f t="shared" si="4"/>
        <v>18608</v>
      </c>
      <c r="N38" s="985">
        <f t="shared" si="4"/>
        <v>6401</v>
      </c>
      <c r="O38" s="983">
        <f t="shared" si="4"/>
        <v>6731</v>
      </c>
      <c r="P38" s="982">
        <f t="shared" si="4"/>
        <v>11410.609999999999</v>
      </c>
      <c r="Q38" s="984">
        <f t="shared" si="4"/>
        <v>12157</v>
      </c>
      <c r="R38" s="985">
        <f t="shared" si="4"/>
        <v>15174.16</v>
      </c>
      <c r="S38" s="983">
        <f t="shared" si="4"/>
        <v>16233</v>
      </c>
      <c r="T38" s="982">
        <f t="shared" si="4"/>
        <v>9468.3900000000031</v>
      </c>
      <c r="U38" s="984">
        <f t="shared" si="4"/>
        <v>12691</v>
      </c>
      <c r="V38" s="985">
        <f t="shared" si="4"/>
        <v>95121.650000000009</v>
      </c>
      <c r="W38" s="984">
        <f t="shared" si="4"/>
        <v>139535</v>
      </c>
      <c r="X38" s="985">
        <f t="shared" si="4"/>
        <v>60499.860000000008</v>
      </c>
      <c r="Y38" s="983">
        <f t="shared" si="4"/>
        <v>91837</v>
      </c>
      <c r="Z38" s="982">
        <f t="shared" si="4"/>
        <v>5997.1399999999994</v>
      </c>
      <c r="AA38" s="984">
        <f t="shared" si="4"/>
        <v>7149</v>
      </c>
      <c r="AB38" s="985">
        <f t="shared" si="4"/>
        <v>14413.56</v>
      </c>
      <c r="AC38" s="984">
        <f t="shared" si="4"/>
        <v>19881.430000000004</v>
      </c>
      <c r="AD38" s="985">
        <f t="shared" si="4"/>
        <v>32413.49</v>
      </c>
      <c r="AE38" s="984">
        <f t="shared" si="4"/>
        <v>37897</v>
      </c>
      <c r="AF38" s="985">
        <f t="shared" si="4"/>
        <v>60499</v>
      </c>
      <c r="AG38" s="984">
        <f t="shared" si="4"/>
        <v>69203</v>
      </c>
      <c r="AH38" s="985">
        <f t="shared" si="4"/>
        <v>24964.559999999998</v>
      </c>
      <c r="AI38" s="984">
        <f t="shared" ref="AI38:AU38" si="5">SUM(AI5:AI37)</f>
        <v>31584</v>
      </c>
      <c r="AJ38" s="985">
        <f t="shared" si="5"/>
        <v>26781</v>
      </c>
      <c r="AK38" s="983">
        <f t="shared" si="5"/>
        <v>28982</v>
      </c>
      <c r="AL38" s="982">
        <f t="shared" si="5"/>
        <v>0</v>
      </c>
      <c r="AM38" s="984">
        <f t="shared" si="5"/>
        <v>0</v>
      </c>
      <c r="AN38" s="985">
        <f t="shared" si="5"/>
        <v>60545.479999999981</v>
      </c>
      <c r="AO38" s="984">
        <f t="shared" si="5"/>
        <v>74568</v>
      </c>
      <c r="AP38" s="985">
        <f t="shared" si="5"/>
        <v>11347.860000000004</v>
      </c>
      <c r="AQ38" s="984">
        <f t="shared" si="5"/>
        <v>12172.48</v>
      </c>
      <c r="AR38" s="985">
        <f t="shared" si="5"/>
        <v>9081.9999999999982</v>
      </c>
      <c r="AS38" s="984">
        <f t="shared" si="5"/>
        <v>15424</v>
      </c>
      <c r="AT38" s="985">
        <f t="shared" si="5"/>
        <v>47351.71</v>
      </c>
      <c r="AU38" s="983">
        <f t="shared" si="5"/>
        <v>84163</v>
      </c>
      <c r="AV38" s="989">
        <f t="shared" si="0"/>
        <v>3425809.8200000003</v>
      </c>
      <c r="AW38" s="990">
        <f t="shared" si="1"/>
        <v>790757.90999999992</v>
      </c>
      <c r="AX38" s="986">
        <f>SUM(AX5:AX37)</f>
        <v>878236.42</v>
      </c>
      <c r="AY38" s="987">
        <f>SUM(AY5:AY37)</f>
        <v>934333.8</v>
      </c>
      <c r="AZ38" s="991">
        <f t="shared" si="2"/>
        <v>4304046.24</v>
      </c>
      <c r="BA38" s="990">
        <f t="shared" si="3"/>
        <v>1725091.71</v>
      </c>
    </row>
    <row r="39" spans="1:53" x14ac:dyDescent="0.3">
      <c r="A39" s="736" t="s">
        <v>108</v>
      </c>
      <c r="B39" s="739"/>
      <c r="C39" s="869"/>
      <c r="D39" s="871"/>
      <c r="E39" s="740"/>
      <c r="F39" s="738"/>
      <c r="G39" s="740"/>
      <c r="H39" s="738"/>
      <c r="I39" s="740"/>
      <c r="J39" s="738"/>
      <c r="K39" s="874"/>
      <c r="L39" s="871"/>
      <c r="M39" s="740"/>
      <c r="N39" s="738"/>
      <c r="O39" s="874"/>
      <c r="P39" s="871"/>
      <c r="Q39" s="740"/>
      <c r="R39" s="738"/>
      <c r="S39" s="874"/>
      <c r="T39" s="871"/>
      <c r="U39" s="740"/>
      <c r="V39" s="738"/>
      <c r="W39" s="740"/>
      <c r="X39" s="738"/>
      <c r="Y39" s="874"/>
      <c r="Z39" s="877"/>
      <c r="AA39" s="742"/>
      <c r="AB39" s="738"/>
      <c r="AC39" s="740"/>
      <c r="AD39" s="738"/>
      <c r="AE39" s="740"/>
      <c r="AF39" s="743"/>
      <c r="AG39" s="744"/>
      <c r="AH39" s="738"/>
      <c r="AI39" s="740"/>
      <c r="AJ39" s="738"/>
      <c r="AK39" s="874"/>
      <c r="AL39" s="881"/>
      <c r="AM39" s="740"/>
      <c r="AN39" s="738"/>
      <c r="AO39" s="740"/>
      <c r="AP39" s="743"/>
      <c r="AQ39" s="744"/>
      <c r="AR39" s="741"/>
      <c r="AS39" s="742"/>
      <c r="AT39" s="738"/>
      <c r="AU39" s="874"/>
      <c r="AV39" s="885">
        <f t="shared" si="0"/>
        <v>0</v>
      </c>
      <c r="AW39" s="735">
        <f t="shared" si="1"/>
        <v>0</v>
      </c>
      <c r="AX39" s="738"/>
      <c r="AY39" s="740"/>
      <c r="AZ39" s="748">
        <f t="shared" si="2"/>
        <v>0</v>
      </c>
      <c r="BA39" s="735">
        <f t="shared" si="3"/>
        <v>0</v>
      </c>
    </row>
    <row r="40" spans="1:53" ht="17.25" thickBot="1" x14ac:dyDescent="0.35">
      <c r="A40" s="737"/>
      <c r="B40" s="535"/>
      <c r="C40" s="578"/>
      <c r="D40" s="535"/>
      <c r="E40" s="536"/>
      <c r="F40" s="537"/>
      <c r="G40" s="536"/>
      <c r="H40" s="537"/>
      <c r="I40" s="536"/>
      <c r="J40" s="537"/>
      <c r="K40" s="578"/>
      <c r="L40" s="535"/>
      <c r="M40" s="536"/>
      <c r="N40" s="537"/>
      <c r="O40" s="578"/>
      <c r="P40" s="535">
        <f>P38+P39</f>
        <v>11410.609999999999</v>
      </c>
      <c r="Q40" s="536"/>
      <c r="R40" s="537"/>
      <c r="S40" s="578"/>
      <c r="T40" s="535"/>
      <c r="U40" s="536"/>
      <c r="V40" s="537"/>
      <c r="W40" s="536"/>
      <c r="X40" s="537"/>
      <c r="Y40" s="578"/>
      <c r="Z40" s="535"/>
      <c r="AA40" s="536"/>
      <c r="AB40" s="537"/>
      <c r="AC40" s="536"/>
      <c r="AD40" s="537"/>
      <c r="AE40" s="536"/>
      <c r="AF40" s="537"/>
      <c r="AG40" s="536"/>
      <c r="AH40" s="537"/>
      <c r="AI40" s="536"/>
      <c r="AJ40" s="537"/>
      <c r="AK40" s="578"/>
      <c r="AL40" s="535"/>
      <c r="AM40" s="536"/>
      <c r="AN40" s="537"/>
      <c r="AO40" s="536"/>
      <c r="AP40" s="537"/>
      <c r="AQ40" s="536"/>
      <c r="AR40" s="537"/>
      <c r="AS40" s="536"/>
      <c r="AT40" s="537"/>
      <c r="AU40" s="578"/>
      <c r="AV40" s="535"/>
      <c r="AW40" s="536"/>
      <c r="AX40" s="537"/>
      <c r="AY40" s="536"/>
      <c r="AZ40" s="537"/>
      <c r="BA40" s="536"/>
    </row>
  </sheetData>
  <mergeCells count="29">
    <mergeCell ref="AR3:AS3"/>
    <mergeCell ref="AP3:AQ3"/>
    <mergeCell ref="AV3:AW3"/>
    <mergeCell ref="AT3:AU3"/>
    <mergeCell ref="A1:BA1"/>
    <mergeCell ref="A2:BA2"/>
    <mergeCell ref="A3:A4"/>
    <mergeCell ref="N3:O3"/>
    <mergeCell ref="X3:Y3"/>
    <mergeCell ref="P3:Q3"/>
    <mergeCell ref="R3:S3"/>
    <mergeCell ref="T3:U3"/>
    <mergeCell ref="AZ3:BA3"/>
    <mergeCell ref="AX3:AY3"/>
    <mergeCell ref="Z3:AA3"/>
    <mergeCell ref="AD3:AE3"/>
    <mergeCell ref="AF3:AG3"/>
    <mergeCell ref="AH3:AI3"/>
    <mergeCell ref="V3:W3"/>
    <mergeCell ref="AB3:AC3"/>
    <mergeCell ref="AN3:AO3"/>
    <mergeCell ref="B3:C3"/>
    <mergeCell ref="D3:E3"/>
    <mergeCell ref="F3:G3"/>
    <mergeCell ref="H3:I3"/>
    <mergeCell ref="L3:M3"/>
    <mergeCell ref="J3:K3"/>
    <mergeCell ref="AJ3:AK3"/>
    <mergeCell ref="AL3:AM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BG39"/>
  <sheetViews>
    <sheetView workbookViewId="0">
      <pane xSplit="1" topLeftCell="B1" activePane="topRight" state="frozen"/>
      <selection pane="topRight" activeCell="A2" sqref="A2:BA2"/>
    </sheetView>
  </sheetViews>
  <sheetFormatPr defaultRowHeight="15" x14ac:dyDescent="0.25"/>
  <cols>
    <col min="1" max="1" width="37.28515625" style="164" bestFit="1" customWidth="1"/>
    <col min="2" max="2" width="11.7109375" bestFit="1" customWidth="1"/>
    <col min="3" max="3" width="11.42578125" customWidth="1"/>
    <col min="4" max="17" width="11.42578125" bestFit="1" customWidth="1"/>
    <col min="18" max="18" width="11.7109375" bestFit="1" customWidth="1"/>
    <col min="19" max="21" width="11.42578125" bestFit="1" customWidth="1"/>
    <col min="22" max="23" width="11.42578125" style="161" bestFit="1" customWidth="1"/>
    <col min="24" max="24" width="11.7109375" customWidth="1"/>
    <col min="25" max="25" width="11.7109375" bestFit="1" customWidth="1"/>
    <col min="26" max="27" width="11.42578125" bestFit="1" customWidth="1"/>
    <col min="28" max="28" width="11.7109375" bestFit="1" customWidth="1"/>
    <col min="29" max="29" width="11.42578125" bestFit="1" customWidth="1"/>
    <col min="30" max="30" width="11.7109375" bestFit="1" customWidth="1"/>
    <col min="31" max="31" width="11.42578125" bestFit="1" customWidth="1"/>
    <col min="32" max="32" width="11.7109375" bestFit="1" customWidth="1"/>
    <col min="33" max="33" width="11.42578125" bestFit="1" customWidth="1"/>
    <col min="34" max="34" width="11.7109375" bestFit="1" customWidth="1"/>
    <col min="35" max="39" width="11.42578125" bestFit="1" customWidth="1"/>
    <col min="40" max="41" width="11.42578125" customWidth="1"/>
    <col min="42" max="47" width="11.42578125" style="161" bestFit="1" customWidth="1"/>
    <col min="48" max="53" width="11.42578125" style="162" bestFit="1" customWidth="1"/>
    <col min="57" max="57" width="11.42578125" customWidth="1"/>
    <col min="58" max="58" width="13" customWidth="1"/>
    <col min="59" max="59" width="11.5703125" customWidth="1"/>
  </cols>
  <sheetData>
    <row r="1" spans="1:59" s="86" customFormat="1" ht="17.25" customHeight="1" x14ac:dyDescent="0.35">
      <c r="A1" s="1348" t="s">
        <v>155</v>
      </c>
      <c r="B1" s="1348"/>
      <c r="C1" s="1348"/>
      <c r="D1" s="1348"/>
      <c r="E1" s="1348"/>
      <c r="F1" s="1348"/>
      <c r="G1" s="1348"/>
      <c r="H1" s="1348"/>
      <c r="I1" s="1348"/>
      <c r="J1" s="1348"/>
      <c r="K1" s="1348"/>
      <c r="L1" s="1348"/>
      <c r="M1" s="1348"/>
      <c r="N1" s="1348"/>
      <c r="O1" s="1348"/>
      <c r="P1" s="1348"/>
      <c r="Q1" s="1348"/>
      <c r="R1" s="1348"/>
      <c r="S1" s="1348"/>
      <c r="T1" s="1348"/>
      <c r="U1" s="1348"/>
      <c r="V1" s="1348"/>
      <c r="W1" s="1348"/>
      <c r="X1" s="1348"/>
      <c r="Y1" s="1348"/>
      <c r="Z1" s="1348"/>
      <c r="AA1" s="1348"/>
      <c r="AB1" s="1348"/>
      <c r="AC1" s="1348"/>
      <c r="AD1" s="1348"/>
      <c r="AE1" s="1348"/>
      <c r="AF1" s="1348"/>
      <c r="AG1" s="1348"/>
      <c r="AH1" s="1348"/>
      <c r="AI1" s="1348"/>
      <c r="AJ1" s="1348"/>
      <c r="AK1" s="1348"/>
      <c r="AL1" s="1348"/>
      <c r="AM1" s="1348"/>
      <c r="AN1" s="1348"/>
      <c r="AO1" s="1348"/>
      <c r="AP1" s="1348"/>
      <c r="AQ1" s="1348"/>
      <c r="AR1" s="1348"/>
      <c r="AS1" s="1348"/>
      <c r="AT1" s="1348"/>
      <c r="AU1" s="1348"/>
      <c r="AV1" s="1348"/>
      <c r="AW1" s="1348"/>
      <c r="AX1" s="1348"/>
      <c r="AY1" s="1348"/>
      <c r="AZ1" s="1348"/>
      <c r="BA1" s="1348"/>
    </row>
    <row r="2" spans="1:59" s="86" customFormat="1" ht="14.25" customHeight="1" thickBot="1" x14ac:dyDescent="0.35">
      <c r="A2" s="1349" t="s">
        <v>415</v>
      </c>
      <c r="B2" s="1349"/>
      <c r="C2" s="1349"/>
      <c r="D2" s="1349"/>
      <c r="E2" s="1349"/>
      <c r="F2" s="1349"/>
      <c r="G2" s="1349"/>
      <c r="H2" s="1349"/>
      <c r="I2" s="1349"/>
      <c r="J2" s="1349"/>
      <c r="K2" s="1349"/>
      <c r="L2" s="1349"/>
      <c r="M2" s="1349"/>
      <c r="N2" s="1349"/>
      <c r="O2" s="1349"/>
      <c r="P2" s="1349"/>
      <c r="Q2" s="1349"/>
      <c r="R2" s="1349"/>
      <c r="S2" s="1349"/>
      <c r="T2" s="1349"/>
      <c r="U2" s="1349"/>
      <c r="V2" s="1349"/>
      <c r="W2" s="1349"/>
      <c r="X2" s="1349"/>
      <c r="Y2" s="1349"/>
      <c r="Z2" s="1349"/>
      <c r="AA2" s="1349"/>
      <c r="AB2" s="1349"/>
      <c r="AC2" s="1349"/>
      <c r="AD2" s="1349"/>
      <c r="AE2" s="1349"/>
      <c r="AF2" s="1349"/>
      <c r="AG2" s="1349"/>
      <c r="AH2" s="1349"/>
      <c r="AI2" s="1349"/>
      <c r="AJ2" s="1349"/>
      <c r="AK2" s="1349"/>
      <c r="AL2" s="1349"/>
      <c r="AM2" s="1349"/>
      <c r="AN2" s="1349"/>
      <c r="AO2" s="1349"/>
      <c r="AP2" s="1349"/>
      <c r="AQ2" s="1349"/>
      <c r="AR2" s="1349"/>
      <c r="AS2" s="1349"/>
      <c r="AT2" s="1349"/>
      <c r="AU2" s="1349"/>
      <c r="AV2" s="1349"/>
      <c r="AW2" s="1349"/>
      <c r="AX2" s="1349"/>
      <c r="AY2" s="1349"/>
      <c r="AZ2" s="1349"/>
      <c r="BA2" s="1349"/>
    </row>
    <row r="3" spans="1:59" s="398" customFormat="1" ht="57" customHeight="1" thickBot="1" x14ac:dyDescent="0.35">
      <c r="A3" s="1350" t="s">
        <v>0</v>
      </c>
      <c r="B3" s="1343" t="s">
        <v>159</v>
      </c>
      <c r="C3" s="1345"/>
      <c r="D3" s="1343" t="s">
        <v>160</v>
      </c>
      <c r="E3" s="1344"/>
      <c r="F3" s="1345" t="s">
        <v>161</v>
      </c>
      <c r="G3" s="1344"/>
      <c r="H3" s="1345" t="s">
        <v>162</v>
      </c>
      <c r="I3" s="1344"/>
      <c r="J3" s="1345" t="s">
        <v>163</v>
      </c>
      <c r="K3" s="1344"/>
      <c r="L3" s="1345" t="s">
        <v>164</v>
      </c>
      <c r="M3" s="1344"/>
      <c r="N3" s="1343" t="s">
        <v>315</v>
      </c>
      <c r="O3" s="1345"/>
      <c r="P3" s="1343" t="s">
        <v>165</v>
      </c>
      <c r="Q3" s="1344"/>
      <c r="R3" s="1343" t="s">
        <v>166</v>
      </c>
      <c r="S3" s="1344"/>
      <c r="T3" s="1343" t="s">
        <v>167</v>
      </c>
      <c r="U3" s="1344"/>
      <c r="V3" s="1306" t="s">
        <v>168</v>
      </c>
      <c r="W3" s="1308"/>
      <c r="X3" s="1343" t="s">
        <v>169</v>
      </c>
      <c r="Y3" s="1345"/>
      <c r="Z3" s="1343" t="s">
        <v>325</v>
      </c>
      <c r="AA3" s="1344"/>
      <c r="AB3" s="1343" t="s">
        <v>170</v>
      </c>
      <c r="AC3" s="1344"/>
      <c r="AD3" s="1346" t="s">
        <v>171</v>
      </c>
      <c r="AE3" s="1347"/>
      <c r="AF3" s="1343" t="s">
        <v>172</v>
      </c>
      <c r="AG3" s="1344"/>
      <c r="AH3" s="1343" t="s">
        <v>173</v>
      </c>
      <c r="AI3" s="1344"/>
      <c r="AJ3" s="1343" t="s">
        <v>174</v>
      </c>
      <c r="AK3" s="1344"/>
      <c r="AL3" s="1346" t="s">
        <v>175</v>
      </c>
      <c r="AM3" s="1347"/>
      <c r="AN3" s="1343" t="s">
        <v>176</v>
      </c>
      <c r="AO3" s="1345"/>
      <c r="AP3" s="1306" t="s">
        <v>177</v>
      </c>
      <c r="AQ3" s="1308"/>
      <c r="AR3" s="1306" t="s">
        <v>178</v>
      </c>
      <c r="AS3" s="1308"/>
      <c r="AT3" s="1306" t="s">
        <v>179</v>
      </c>
      <c r="AU3" s="1308"/>
      <c r="AV3" s="1306" t="s">
        <v>1</v>
      </c>
      <c r="AW3" s="1308"/>
      <c r="AX3" s="1304" t="s">
        <v>180</v>
      </c>
      <c r="AY3" s="1305"/>
      <c r="AZ3" s="1304" t="s">
        <v>2</v>
      </c>
      <c r="BA3" s="1309"/>
    </row>
    <row r="4" spans="1:59" s="444" customFormat="1" ht="15" customHeight="1" thickBot="1" x14ac:dyDescent="0.35">
      <c r="A4" s="1351"/>
      <c r="B4" s="525" t="s">
        <v>321</v>
      </c>
      <c r="C4" s="496" t="s">
        <v>383</v>
      </c>
      <c r="D4" s="525" t="s">
        <v>321</v>
      </c>
      <c r="E4" s="496" t="s">
        <v>383</v>
      </c>
      <c r="F4" s="525" t="s">
        <v>321</v>
      </c>
      <c r="G4" s="496" t="s">
        <v>383</v>
      </c>
      <c r="H4" s="525" t="s">
        <v>321</v>
      </c>
      <c r="I4" s="496" t="s">
        <v>383</v>
      </c>
      <c r="J4" s="525" t="s">
        <v>321</v>
      </c>
      <c r="K4" s="496" t="s">
        <v>383</v>
      </c>
      <c r="L4" s="525" t="s">
        <v>321</v>
      </c>
      <c r="M4" s="496" t="s">
        <v>383</v>
      </c>
      <c r="N4" s="525" t="s">
        <v>321</v>
      </c>
      <c r="O4" s="496" t="s">
        <v>383</v>
      </c>
      <c r="P4" s="525" t="s">
        <v>321</v>
      </c>
      <c r="Q4" s="496" t="s">
        <v>383</v>
      </c>
      <c r="R4" s="525" t="s">
        <v>321</v>
      </c>
      <c r="S4" s="496" t="s">
        <v>383</v>
      </c>
      <c r="T4" s="525" t="s">
        <v>321</v>
      </c>
      <c r="U4" s="496" t="s">
        <v>383</v>
      </c>
      <c r="V4" s="525" t="s">
        <v>321</v>
      </c>
      <c r="W4" s="496" t="s">
        <v>383</v>
      </c>
      <c r="X4" s="525" t="s">
        <v>321</v>
      </c>
      <c r="Y4" s="496" t="s">
        <v>383</v>
      </c>
      <c r="Z4" s="525" t="s">
        <v>321</v>
      </c>
      <c r="AA4" s="496" t="s">
        <v>383</v>
      </c>
      <c r="AB4" s="525" t="s">
        <v>321</v>
      </c>
      <c r="AC4" s="496" t="s">
        <v>383</v>
      </c>
      <c r="AD4" s="525" t="s">
        <v>321</v>
      </c>
      <c r="AE4" s="496" t="s">
        <v>383</v>
      </c>
      <c r="AF4" s="525" t="s">
        <v>321</v>
      </c>
      <c r="AG4" s="496" t="s">
        <v>383</v>
      </c>
      <c r="AH4" s="525" t="s">
        <v>321</v>
      </c>
      <c r="AI4" s="496" t="s">
        <v>383</v>
      </c>
      <c r="AJ4" s="525" t="s">
        <v>321</v>
      </c>
      <c r="AK4" s="496" t="s">
        <v>383</v>
      </c>
      <c r="AL4" s="525" t="s">
        <v>321</v>
      </c>
      <c r="AM4" s="496" t="s">
        <v>383</v>
      </c>
      <c r="AN4" s="525" t="s">
        <v>321</v>
      </c>
      <c r="AO4" s="496" t="s">
        <v>383</v>
      </c>
      <c r="AP4" s="525" t="s">
        <v>321</v>
      </c>
      <c r="AQ4" s="496" t="s">
        <v>383</v>
      </c>
      <c r="AR4" s="525" t="s">
        <v>321</v>
      </c>
      <c r="AS4" s="496" t="s">
        <v>383</v>
      </c>
      <c r="AT4" s="525" t="s">
        <v>321</v>
      </c>
      <c r="AU4" s="496" t="s">
        <v>383</v>
      </c>
      <c r="AV4" s="525" t="s">
        <v>321</v>
      </c>
      <c r="AW4" s="496" t="s">
        <v>383</v>
      </c>
      <c r="AX4" s="525" t="s">
        <v>321</v>
      </c>
      <c r="AY4" s="490" t="s">
        <v>383</v>
      </c>
      <c r="AZ4" s="525" t="s">
        <v>256</v>
      </c>
      <c r="BA4" s="490" t="s">
        <v>383</v>
      </c>
    </row>
    <row r="5" spans="1:59" s="90" customFormat="1" ht="15" customHeight="1" thickBot="1" x14ac:dyDescent="0.35">
      <c r="A5" s="165" t="s">
        <v>30</v>
      </c>
      <c r="B5" s="166"/>
      <c r="C5" s="173"/>
      <c r="D5" s="166"/>
      <c r="E5" s="168"/>
      <c r="F5" s="171"/>
      <c r="G5" s="170"/>
      <c r="H5" s="171"/>
      <c r="I5" s="170"/>
      <c r="J5" s="171"/>
      <c r="K5" s="170"/>
      <c r="L5" s="171"/>
      <c r="M5" s="170"/>
      <c r="N5" s="171"/>
      <c r="O5" s="175"/>
      <c r="P5" s="166"/>
      <c r="Q5" s="168"/>
      <c r="R5" s="166"/>
      <c r="S5" s="167"/>
      <c r="T5" s="166"/>
      <c r="U5" s="167"/>
      <c r="V5" s="174"/>
      <c r="W5" s="172"/>
      <c r="X5" s="166"/>
      <c r="Y5" s="167"/>
      <c r="Z5" s="166"/>
      <c r="AA5" s="167"/>
      <c r="AB5" s="166"/>
      <c r="AC5" s="167"/>
      <c r="AD5" s="166"/>
      <c r="AE5" s="167"/>
      <c r="AF5" s="166"/>
      <c r="AG5" s="167"/>
      <c r="AH5" s="166"/>
      <c r="AI5" s="167"/>
      <c r="AJ5" s="166"/>
      <c r="AK5" s="167"/>
      <c r="AL5" s="201"/>
      <c r="AM5" s="202"/>
      <c r="AN5" s="205"/>
      <c r="AO5" s="895"/>
      <c r="AP5" s="174"/>
      <c r="AQ5" s="170"/>
      <c r="AR5" s="174"/>
      <c r="AS5" s="172"/>
      <c r="AT5" s="174"/>
      <c r="AU5" s="172"/>
      <c r="AV5" s="174"/>
      <c r="AW5" s="172"/>
      <c r="AX5" s="174"/>
      <c r="AY5" s="175"/>
      <c r="AZ5" s="174"/>
      <c r="BA5" s="170"/>
    </row>
    <row r="6" spans="1:59" s="90" customFormat="1" ht="14.25" x14ac:dyDescent="0.3">
      <c r="A6" s="115" t="s">
        <v>31</v>
      </c>
      <c r="B6" s="121">
        <v>53708.26</v>
      </c>
      <c r="C6" s="854">
        <v>19651</v>
      </c>
      <c r="D6" s="91">
        <v>9575.84</v>
      </c>
      <c r="E6" s="93">
        <v>2267</v>
      </c>
      <c r="F6" s="123">
        <v>14045</v>
      </c>
      <c r="G6" s="97">
        <v>3097</v>
      </c>
      <c r="H6" s="123">
        <v>61068.62</v>
      </c>
      <c r="I6" s="97">
        <v>42926</v>
      </c>
      <c r="J6" s="123">
        <v>12429.5</v>
      </c>
      <c r="K6" s="97">
        <v>6714</v>
      </c>
      <c r="L6" s="123">
        <v>23737.02</v>
      </c>
      <c r="M6" s="97">
        <v>12187</v>
      </c>
      <c r="N6" s="123">
        <v>8140</v>
      </c>
      <c r="O6" s="106">
        <v>5387</v>
      </c>
      <c r="P6" s="91">
        <v>7557.94</v>
      </c>
      <c r="Q6" s="93">
        <v>3875</v>
      </c>
      <c r="R6" s="91">
        <v>27375</v>
      </c>
      <c r="S6" s="92">
        <v>8883</v>
      </c>
      <c r="T6" s="91">
        <v>9193.77</v>
      </c>
      <c r="U6" s="92">
        <v>2915</v>
      </c>
      <c r="V6" s="95">
        <v>160006</v>
      </c>
      <c r="W6" s="96">
        <v>88502</v>
      </c>
      <c r="X6" s="91">
        <v>203965.84</v>
      </c>
      <c r="Y6" s="92">
        <v>68343</v>
      </c>
      <c r="Z6" s="98">
        <v>5671.03</v>
      </c>
      <c r="AA6" s="99">
        <v>2768</v>
      </c>
      <c r="AB6" s="91">
        <v>31101.89</v>
      </c>
      <c r="AC6" s="92">
        <v>20308.36</v>
      </c>
      <c r="AD6" s="91">
        <v>56568.62</v>
      </c>
      <c r="AE6" s="92">
        <v>35942</v>
      </c>
      <c r="AF6" s="91">
        <v>103144.3</v>
      </c>
      <c r="AG6" s="92">
        <v>48111</v>
      </c>
      <c r="AH6" s="91">
        <v>45870.33</v>
      </c>
      <c r="AI6" s="92">
        <v>24557</v>
      </c>
      <c r="AJ6" s="91">
        <v>12138.59</v>
      </c>
      <c r="AK6" s="92">
        <v>5485</v>
      </c>
      <c r="AL6" s="100"/>
      <c r="AM6" s="92"/>
      <c r="AN6" s="206">
        <v>157644.72</v>
      </c>
      <c r="AO6" s="896">
        <v>80214</v>
      </c>
      <c r="AP6" s="447">
        <v>7928.31</v>
      </c>
      <c r="AQ6" s="732">
        <v>9293</v>
      </c>
      <c r="AR6" s="111">
        <v>15918.34</v>
      </c>
      <c r="AS6" s="112">
        <v>15226</v>
      </c>
      <c r="AT6" s="95">
        <v>77883.44</v>
      </c>
      <c r="AU6" s="96">
        <v>27712</v>
      </c>
      <c r="AV6" s="113">
        <f t="shared" ref="AV6:AW8" si="0">SUM(B6+D6+F6+H6+J6+L6+N6+P6+R6+T6+V6+X6+Z6+AB6+AD6+AF6+AH6+AJ6+AL6+AN6+AP6+AR6+AT6)</f>
        <v>1104672.3599999999</v>
      </c>
      <c r="AW6" s="124">
        <f t="shared" si="0"/>
        <v>534363.36</v>
      </c>
      <c r="AX6" s="111">
        <v>735545.72</v>
      </c>
      <c r="AY6" s="898">
        <v>582202</v>
      </c>
      <c r="AZ6" s="113">
        <f t="shared" ref="AZ6:BA8" si="1">AV6+AX6</f>
        <v>1840218.0799999998</v>
      </c>
      <c r="BA6" s="126">
        <f t="shared" si="1"/>
        <v>1116565.3599999999</v>
      </c>
    </row>
    <row r="7" spans="1:59" s="90" customFormat="1" ht="14.25" x14ac:dyDescent="0.3">
      <c r="A7" s="115" t="s">
        <v>32</v>
      </c>
      <c r="B7" s="121">
        <v>35452.639999999999</v>
      </c>
      <c r="C7" s="854">
        <v>15729</v>
      </c>
      <c r="D7" s="91">
        <v>565.29</v>
      </c>
      <c r="E7" s="93">
        <v>158</v>
      </c>
      <c r="F7" s="123">
        <v>2967.8</v>
      </c>
      <c r="G7" s="97">
        <v>5208</v>
      </c>
      <c r="H7" s="123">
        <v>22581.32</v>
      </c>
      <c r="I7" s="97">
        <v>24894</v>
      </c>
      <c r="J7" s="123">
        <v>882.82</v>
      </c>
      <c r="K7" s="97">
        <v>711</v>
      </c>
      <c r="L7" s="123">
        <v>5777.87</v>
      </c>
      <c r="M7" s="97">
        <v>3057</v>
      </c>
      <c r="N7" s="123">
        <v>733</v>
      </c>
      <c r="O7" s="106">
        <v>1522</v>
      </c>
      <c r="P7" s="91"/>
      <c r="Q7" s="93">
        <v>64</v>
      </c>
      <c r="R7" s="91">
        <v>7411</v>
      </c>
      <c r="S7" s="92">
        <v>8145</v>
      </c>
      <c r="T7" s="91">
        <v>791.87</v>
      </c>
      <c r="U7" s="92">
        <v>822</v>
      </c>
      <c r="V7" s="95">
        <v>143182</v>
      </c>
      <c r="W7" s="96">
        <v>115859</v>
      </c>
      <c r="X7" s="91">
        <v>56921.78</v>
      </c>
      <c r="Y7" s="92">
        <v>63236</v>
      </c>
      <c r="Z7" s="98">
        <v>4832.88</v>
      </c>
      <c r="AA7" s="99">
        <v>5155</v>
      </c>
      <c r="AB7" s="91">
        <v>1500.6</v>
      </c>
      <c r="AC7" s="92">
        <v>2569.7600000000002</v>
      </c>
      <c r="AD7" s="91">
        <v>44476.34</v>
      </c>
      <c r="AE7" s="92">
        <v>31040</v>
      </c>
      <c r="AF7" s="91">
        <v>16714.509999999998</v>
      </c>
      <c r="AG7" s="92">
        <v>19230</v>
      </c>
      <c r="AH7" s="91">
        <v>2321.75</v>
      </c>
      <c r="AI7" s="92">
        <v>5496</v>
      </c>
      <c r="AJ7" s="91">
        <v>16095.02</v>
      </c>
      <c r="AK7" s="92">
        <v>12218</v>
      </c>
      <c r="AL7" s="100"/>
      <c r="AM7" s="92"/>
      <c r="AN7" s="207">
        <v>58121.89</v>
      </c>
      <c r="AO7" s="177">
        <v>82852</v>
      </c>
      <c r="AP7" s="447">
        <v>2555.04</v>
      </c>
      <c r="AQ7" s="732">
        <v>2589</v>
      </c>
      <c r="AR7" s="111">
        <v>5543.69</v>
      </c>
      <c r="AS7" s="112">
        <v>5018</v>
      </c>
      <c r="AT7" s="95">
        <v>14495.38</v>
      </c>
      <c r="AU7" s="96">
        <v>13936</v>
      </c>
      <c r="AV7" s="113">
        <f t="shared" si="0"/>
        <v>443924.49</v>
      </c>
      <c r="AW7" s="124">
        <f t="shared" si="0"/>
        <v>419508.76</v>
      </c>
      <c r="AX7" s="111">
        <v>3504625.2</v>
      </c>
      <c r="AY7" s="898">
        <v>3118104</v>
      </c>
      <c r="AZ7" s="113">
        <f t="shared" si="1"/>
        <v>3948549.6900000004</v>
      </c>
      <c r="BA7" s="126">
        <f t="shared" si="1"/>
        <v>3537612.76</v>
      </c>
    </row>
    <row r="8" spans="1:59" s="90" customFormat="1" ht="14.25" x14ac:dyDescent="0.3">
      <c r="A8" s="115" t="s">
        <v>33</v>
      </c>
      <c r="B8" s="121">
        <v>456.8</v>
      </c>
      <c r="C8" s="854">
        <v>614</v>
      </c>
      <c r="D8" s="91">
        <v>0.32</v>
      </c>
      <c r="E8" s="93">
        <v>1</v>
      </c>
      <c r="F8" s="123">
        <v>1449.67</v>
      </c>
      <c r="G8" s="97">
        <v>1623</v>
      </c>
      <c r="H8" s="123">
        <v>433.12</v>
      </c>
      <c r="I8" s="97">
        <v>749</v>
      </c>
      <c r="J8" s="123"/>
      <c r="K8" s="97"/>
      <c r="L8" s="123">
        <v>777.28</v>
      </c>
      <c r="M8" s="97">
        <v>1128</v>
      </c>
      <c r="N8" s="123"/>
      <c r="O8" s="106">
        <v>2</v>
      </c>
      <c r="P8" s="91">
        <v>45.36</v>
      </c>
      <c r="Q8" s="93">
        <v>69</v>
      </c>
      <c r="R8" s="91">
        <v>310</v>
      </c>
      <c r="S8" s="92">
        <v>313</v>
      </c>
      <c r="T8" s="91">
        <v>10.210000000000001</v>
      </c>
      <c r="U8" s="92">
        <v>14</v>
      </c>
      <c r="V8" s="95">
        <v>14091.44</v>
      </c>
      <c r="W8" s="96">
        <v>20653</v>
      </c>
      <c r="X8" s="91">
        <v>8965.9500000000007</v>
      </c>
      <c r="Y8" s="92">
        <v>11634</v>
      </c>
      <c r="Z8" s="98">
        <v>49.43</v>
      </c>
      <c r="AA8" s="99">
        <v>90</v>
      </c>
      <c r="AB8" s="91">
        <v>10.35</v>
      </c>
      <c r="AC8" s="92">
        <v>38.33</v>
      </c>
      <c r="AD8" s="91">
        <v>835</v>
      </c>
      <c r="AE8" s="92">
        <v>1321</v>
      </c>
      <c r="AF8" s="91">
        <v>522.52</v>
      </c>
      <c r="AG8" s="92">
        <v>1066</v>
      </c>
      <c r="AH8" s="91">
        <v>790.99</v>
      </c>
      <c r="AI8" s="92">
        <v>1172</v>
      </c>
      <c r="AJ8" s="91">
        <v>206.27</v>
      </c>
      <c r="AK8" s="92">
        <v>244</v>
      </c>
      <c r="AL8" s="100"/>
      <c r="AM8" s="92"/>
      <c r="AN8" s="207">
        <v>11825.16</v>
      </c>
      <c r="AO8" s="177">
        <v>16291</v>
      </c>
      <c r="AP8" s="447">
        <v>57.39</v>
      </c>
      <c r="AQ8" s="732">
        <v>119</v>
      </c>
      <c r="AR8" s="111">
        <v>489.26</v>
      </c>
      <c r="AS8" s="112">
        <v>554</v>
      </c>
      <c r="AT8" s="95">
        <v>564.16999999999996</v>
      </c>
      <c r="AU8" s="96">
        <v>1151</v>
      </c>
      <c r="AV8" s="113">
        <f t="shared" si="0"/>
        <v>41890.69</v>
      </c>
      <c r="AW8" s="124">
        <f t="shared" si="0"/>
        <v>58846.33</v>
      </c>
      <c r="AX8" s="111">
        <v>382637.86</v>
      </c>
      <c r="AY8" s="898">
        <v>414624</v>
      </c>
      <c r="AZ8" s="113">
        <f t="shared" si="1"/>
        <v>424528.55</v>
      </c>
      <c r="BA8" s="126">
        <f t="shared" si="1"/>
        <v>473470.33</v>
      </c>
    </row>
    <row r="9" spans="1:59" s="90" customFormat="1" ht="14.25" x14ac:dyDescent="0.3">
      <c r="A9" s="115" t="s">
        <v>34</v>
      </c>
      <c r="B9" s="121"/>
      <c r="C9" s="854"/>
      <c r="D9" s="91"/>
      <c r="E9" s="93"/>
      <c r="F9" s="123"/>
      <c r="G9" s="97"/>
      <c r="H9" s="123"/>
      <c r="I9" s="97"/>
      <c r="J9" s="123"/>
      <c r="K9" s="97"/>
      <c r="L9" s="123"/>
      <c r="M9" s="97"/>
      <c r="N9" s="123"/>
      <c r="O9" s="106"/>
      <c r="P9" s="91"/>
      <c r="Q9" s="93"/>
      <c r="R9" s="91">
        <f>101+2228+157</f>
        <v>2486</v>
      </c>
      <c r="S9" s="92">
        <f>850+3831+653</f>
        <v>5334</v>
      </c>
      <c r="T9" s="91"/>
      <c r="U9" s="92"/>
      <c r="V9" s="95"/>
      <c r="W9" s="107"/>
      <c r="X9" s="91"/>
      <c r="Y9" s="92"/>
      <c r="Z9" s="98"/>
      <c r="AA9" s="99"/>
      <c r="AB9" s="91"/>
      <c r="AC9" s="92"/>
      <c r="AD9" s="91"/>
      <c r="AE9" s="92"/>
      <c r="AF9" s="91"/>
      <c r="AG9" s="92"/>
      <c r="AH9" s="91"/>
      <c r="AI9" s="92"/>
      <c r="AJ9" s="91"/>
      <c r="AK9" s="92"/>
      <c r="AL9" s="100"/>
      <c r="AM9" s="92"/>
      <c r="AN9" s="95"/>
      <c r="AO9" s="106"/>
      <c r="AP9" s="447"/>
      <c r="AQ9" s="732"/>
      <c r="AR9" s="111">
        <v>89.77</v>
      </c>
      <c r="AS9" s="112">
        <v>184</v>
      </c>
      <c r="AT9" s="95"/>
      <c r="AU9" s="96"/>
      <c r="AV9" s="113"/>
      <c r="AW9" s="124"/>
      <c r="AX9" s="111"/>
      <c r="AY9" s="898"/>
      <c r="AZ9" s="113"/>
      <c r="BA9" s="126"/>
    </row>
    <row r="10" spans="1:59" s="90" customFormat="1" ht="14.25" x14ac:dyDescent="0.3">
      <c r="A10" s="115" t="s">
        <v>35</v>
      </c>
      <c r="B10" s="129">
        <v>3902.67</v>
      </c>
      <c r="C10" s="888">
        <f>1244+4013</f>
        <v>5257</v>
      </c>
      <c r="D10" s="102">
        <v>266.99</v>
      </c>
      <c r="E10" s="863">
        <v>342</v>
      </c>
      <c r="F10" s="124">
        <v>1482.65</v>
      </c>
      <c r="G10" s="118">
        <v>1630</v>
      </c>
      <c r="H10" s="124">
        <v>7773.88</v>
      </c>
      <c r="I10" s="118">
        <v>6877</v>
      </c>
      <c r="J10" s="124">
        <v>3551.72</v>
      </c>
      <c r="K10" s="118">
        <v>4131</v>
      </c>
      <c r="L10" s="124">
        <v>787</v>
      </c>
      <c r="M10" s="118">
        <v>688</v>
      </c>
      <c r="N10" s="124">
        <v>131</v>
      </c>
      <c r="O10" s="119">
        <v>70</v>
      </c>
      <c r="P10" s="102">
        <v>212.98</v>
      </c>
      <c r="Q10" s="863">
        <v>187</v>
      </c>
      <c r="R10" s="102">
        <v>4662</v>
      </c>
      <c r="S10" s="104">
        <v>5438</v>
      </c>
      <c r="T10" s="102">
        <v>244.57</v>
      </c>
      <c r="U10" s="104">
        <v>613</v>
      </c>
      <c r="V10" s="95">
        <v>607.15</v>
      </c>
      <c r="W10" s="117">
        <v>82</v>
      </c>
      <c r="X10" s="102">
        <v>7646.42</v>
      </c>
      <c r="Y10" s="104">
        <v>8749</v>
      </c>
      <c r="Z10" s="98">
        <v>3238.38</v>
      </c>
      <c r="AA10" s="99">
        <v>3237</v>
      </c>
      <c r="AB10" s="102">
        <v>1634.69</v>
      </c>
      <c r="AC10" s="104">
        <v>2019.45</v>
      </c>
      <c r="AD10" s="130">
        <v>5470.34</v>
      </c>
      <c r="AE10" s="131">
        <v>6888</v>
      </c>
      <c r="AF10" s="102">
        <v>5500</v>
      </c>
      <c r="AG10" s="104">
        <v>6211</v>
      </c>
      <c r="AH10" s="102">
        <v>7440.77</v>
      </c>
      <c r="AI10" s="104">
        <v>9042</v>
      </c>
      <c r="AJ10" s="102">
        <v>11509.81</v>
      </c>
      <c r="AK10" s="104">
        <v>9594</v>
      </c>
      <c r="AL10" s="100"/>
      <c r="AM10" s="92"/>
      <c r="AN10" s="207">
        <v>20061.5</v>
      </c>
      <c r="AO10" s="177">
        <v>21424</v>
      </c>
      <c r="AP10" s="447">
        <v>901.42</v>
      </c>
      <c r="AQ10" s="732">
        <v>988</v>
      </c>
      <c r="AR10" s="111">
        <v>1147.8900000000001</v>
      </c>
      <c r="AS10" s="112">
        <v>1014</v>
      </c>
      <c r="AT10" s="113">
        <f>4740.12+7029.88</f>
        <v>11770</v>
      </c>
      <c r="AU10" s="117">
        <f>5184+7930</f>
        <v>13114</v>
      </c>
      <c r="AV10" s="113">
        <f t="shared" ref="AV10:AW16" si="2">SUM(B10+D10+F10+H10+J10+L10+N10+P10+R10+T10+V10+X10+Z10+AB10+AD10+AF10+AH10+AJ10+AL10+AN10+AP10+AR10+AT10)</f>
        <v>99943.83</v>
      </c>
      <c r="AW10" s="124">
        <f t="shared" si="2"/>
        <v>107595.45</v>
      </c>
      <c r="AX10" s="113"/>
      <c r="AY10" s="119"/>
      <c r="AZ10" s="113">
        <f t="shared" ref="AZ10:BA15" si="3">AV10+AX10</f>
        <v>99943.83</v>
      </c>
      <c r="BA10" s="126">
        <f t="shared" si="3"/>
        <v>107595.45</v>
      </c>
    </row>
    <row r="11" spans="1:59" s="90" customFormat="1" ht="14.25" x14ac:dyDescent="0.3">
      <c r="A11" s="115" t="s">
        <v>36</v>
      </c>
      <c r="B11" s="121">
        <v>74917.289999999994</v>
      </c>
      <c r="C11" s="854">
        <v>97474</v>
      </c>
      <c r="D11" s="91">
        <v>3647.09</v>
      </c>
      <c r="E11" s="93">
        <v>4834</v>
      </c>
      <c r="F11" s="123">
        <v>10443.120000000001</v>
      </c>
      <c r="G11" s="97">
        <v>11281</v>
      </c>
      <c r="H11" s="123">
        <v>77732.89</v>
      </c>
      <c r="I11" s="97">
        <v>163547</v>
      </c>
      <c r="J11" s="123">
        <v>3786.51</v>
      </c>
      <c r="K11" s="97">
        <v>5991</v>
      </c>
      <c r="L11" s="123">
        <v>25142.26</v>
      </c>
      <c r="M11" s="97">
        <v>32624</v>
      </c>
      <c r="N11" s="123">
        <v>3510</v>
      </c>
      <c r="O11" s="106">
        <v>5053</v>
      </c>
      <c r="P11" s="91">
        <v>2942.32</v>
      </c>
      <c r="Q11" s="93">
        <v>5638</v>
      </c>
      <c r="R11" s="91">
        <v>13709</v>
      </c>
      <c r="S11" s="92">
        <v>15762</v>
      </c>
      <c r="T11" s="91">
        <v>3095.65</v>
      </c>
      <c r="U11" s="92">
        <v>5139</v>
      </c>
      <c r="V11" s="95">
        <v>165295</v>
      </c>
      <c r="W11" s="96">
        <v>150168</v>
      </c>
      <c r="X11" s="91">
        <v>379857.88</v>
      </c>
      <c r="Y11" s="92">
        <v>407624</v>
      </c>
      <c r="Z11" s="91">
        <v>6398.56</v>
      </c>
      <c r="AA11" s="92">
        <v>8930</v>
      </c>
      <c r="AB11" s="91">
        <v>34547.910000000003</v>
      </c>
      <c r="AC11" s="92">
        <v>59505.74</v>
      </c>
      <c r="AD11" s="91">
        <v>21823.65</v>
      </c>
      <c r="AE11" s="92">
        <v>46148</v>
      </c>
      <c r="AF11" s="91">
        <v>89509.35</v>
      </c>
      <c r="AG11" s="92">
        <v>112911</v>
      </c>
      <c r="AH11" s="91">
        <v>21359.37</v>
      </c>
      <c r="AI11" s="92">
        <v>25678</v>
      </c>
      <c r="AJ11" s="91">
        <v>23513.279999999999</v>
      </c>
      <c r="AK11" s="92">
        <v>23949</v>
      </c>
      <c r="AL11" s="100"/>
      <c r="AM11" s="92"/>
      <c r="AN11" s="207">
        <v>126858.93</v>
      </c>
      <c r="AO11" s="177">
        <v>163203</v>
      </c>
      <c r="AP11" s="447">
        <v>2185.1799999999998</v>
      </c>
      <c r="AQ11" s="732">
        <v>3279</v>
      </c>
      <c r="AR11" s="111">
        <v>8861.14</v>
      </c>
      <c r="AS11" s="112">
        <v>9698</v>
      </c>
      <c r="AT11" s="95">
        <v>29294.41</v>
      </c>
      <c r="AU11" s="96">
        <v>48446</v>
      </c>
      <c r="AV11" s="113">
        <f t="shared" si="2"/>
        <v>1128430.7899999998</v>
      </c>
      <c r="AW11" s="124">
        <f t="shared" si="2"/>
        <v>1406882.74</v>
      </c>
      <c r="AX11" s="111">
        <v>1829865.98</v>
      </c>
      <c r="AY11" s="898">
        <v>2678086</v>
      </c>
      <c r="AZ11" s="113">
        <f t="shared" si="3"/>
        <v>2958296.7699999996</v>
      </c>
      <c r="BA11" s="126">
        <f t="shared" si="3"/>
        <v>4084968.74</v>
      </c>
      <c r="BF11" s="160"/>
      <c r="BG11" s="160"/>
    </row>
    <row r="12" spans="1:59" s="90" customFormat="1" ht="14.25" x14ac:dyDescent="0.3">
      <c r="A12" s="115" t="s">
        <v>37</v>
      </c>
      <c r="B12" s="121"/>
      <c r="C12" s="854"/>
      <c r="D12" s="91"/>
      <c r="E12" s="93"/>
      <c r="F12" s="123"/>
      <c r="G12" s="97"/>
      <c r="H12" s="123"/>
      <c r="I12" s="97"/>
      <c r="J12" s="123"/>
      <c r="K12" s="97"/>
      <c r="L12" s="123"/>
      <c r="M12" s="97"/>
      <c r="N12" s="123"/>
      <c r="O12" s="106"/>
      <c r="P12" s="91"/>
      <c r="Q12" s="93"/>
      <c r="R12" s="91"/>
      <c r="S12" s="92"/>
      <c r="T12" s="91"/>
      <c r="U12" s="92"/>
      <c r="V12" s="95">
        <v>65265.49</v>
      </c>
      <c r="W12" s="96">
        <v>72978</v>
      </c>
      <c r="X12" s="91"/>
      <c r="Y12" s="92"/>
      <c r="Z12" s="91"/>
      <c r="AA12" s="92"/>
      <c r="AB12" s="91"/>
      <c r="AC12" s="92"/>
      <c r="AD12" s="91">
        <v>2127.87</v>
      </c>
      <c r="AE12" s="92">
        <v>3786</v>
      </c>
      <c r="AF12" s="91"/>
      <c r="AG12" s="92"/>
      <c r="AH12" s="91"/>
      <c r="AI12" s="92"/>
      <c r="AJ12" s="91"/>
      <c r="AK12" s="92"/>
      <c r="AL12" s="100"/>
      <c r="AM12" s="92"/>
      <c r="AN12" s="207">
        <v>48172.06</v>
      </c>
      <c r="AO12" s="177">
        <v>61561</v>
      </c>
      <c r="AP12" s="447"/>
      <c r="AQ12" s="732"/>
      <c r="AR12" s="111"/>
      <c r="AS12" s="112"/>
      <c r="AT12" s="95"/>
      <c r="AU12" s="96"/>
      <c r="AV12" s="113">
        <f t="shared" si="2"/>
        <v>115565.42</v>
      </c>
      <c r="AW12" s="124">
        <f t="shared" si="2"/>
        <v>138325</v>
      </c>
      <c r="AX12" s="111"/>
      <c r="AY12" s="898"/>
      <c r="AZ12" s="113">
        <f t="shared" si="3"/>
        <v>115565.42</v>
      </c>
      <c r="BA12" s="126">
        <f t="shared" si="3"/>
        <v>138325</v>
      </c>
    </row>
    <row r="13" spans="1:59" s="90" customFormat="1" ht="14.25" x14ac:dyDescent="0.3">
      <c r="A13" s="115" t="s">
        <v>38</v>
      </c>
      <c r="B13" s="121"/>
      <c r="C13" s="854"/>
      <c r="D13" s="91">
        <v>53.19</v>
      </c>
      <c r="E13" s="93">
        <v>53</v>
      </c>
      <c r="F13" s="123"/>
      <c r="G13" s="97"/>
      <c r="H13" s="123"/>
      <c r="I13" s="97"/>
      <c r="J13" s="123"/>
      <c r="K13" s="97"/>
      <c r="L13" s="123">
        <v>6771.86</v>
      </c>
      <c r="M13" s="97">
        <v>8245</v>
      </c>
      <c r="N13" s="123"/>
      <c r="O13" s="106"/>
      <c r="P13" s="91">
        <v>178.81</v>
      </c>
      <c r="Q13" s="93">
        <v>821</v>
      </c>
      <c r="R13" s="91"/>
      <c r="S13" s="92"/>
      <c r="T13" s="91">
        <v>107.82</v>
      </c>
      <c r="U13" s="92">
        <v>339</v>
      </c>
      <c r="V13" s="95">
        <v>69016.72</v>
      </c>
      <c r="W13" s="96">
        <v>231008</v>
      </c>
      <c r="X13" s="91"/>
      <c r="Y13" s="92"/>
      <c r="Z13" s="91"/>
      <c r="AA13" s="92">
        <v>2261</v>
      </c>
      <c r="AB13" s="91"/>
      <c r="AC13" s="92"/>
      <c r="AD13" s="91"/>
      <c r="AE13" s="92"/>
      <c r="AF13" s="91"/>
      <c r="AG13" s="92"/>
      <c r="AH13" s="91"/>
      <c r="AI13" s="92"/>
      <c r="AJ13" s="91"/>
      <c r="AK13" s="92"/>
      <c r="AL13" s="100"/>
      <c r="AM13" s="92"/>
      <c r="AN13" s="207">
        <v>79717.84</v>
      </c>
      <c r="AO13" s="177">
        <v>89558</v>
      </c>
      <c r="AP13" s="447">
        <v>5</v>
      </c>
      <c r="AQ13" s="732"/>
      <c r="AR13" s="111"/>
      <c r="AS13" s="112"/>
      <c r="AT13" s="95"/>
      <c r="AU13" s="96"/>
      <c r="AV13" s="113">
        <f t="shared" si="2"/>
        <v>155851.24</v>
      </c>
      <c r="AW13" s="124">
        <f t="shared" si="2"/>
        <v>332285</v>
      </c>
      <c r="AX13" s="111"/>
      <c r="AY13" s="898"/>
      <c r="AZ13" s="113">
        <f t="shared" si="3"/>
        <v>155851.24</v>
      </c>
      <c r="BA13" s="126">
        <f t="shared" si="3"/>
        <v>332285</v>
      </c>
    </row>
    <row r="14" spans="1:59" s="90" customFormat="1" ht="14.25" x14ac:dyDescent="0.3">
      <c r="A14" s="115" t="s">
        <v>39</v>
      </c>
      <c r="B14" s="129">
        <v>247.34</v>
      </c>
      <c r="C14" s="888">
        <v>241</v>
      </c>
      <c r="D14" s="102">
        <v>373</v>
      </c>
      <c r="E14" s="863">
        <v>84</v>
      </c>
      <c r="F14" s="124">
        <v>0.93</v>
      </c>
      <c r="G14" s="118">
        <v>1</v>
      </c>
      <c r="H14" s="124">
        <v>231.66</v>
      </c>
      <c r="I14" s="118">
        <v>1181</v>
      </c>
      <c r="J14" s="124">
        <v>264.52</v>
      </c>
      <c r="K14" s="118">
        <v>234</v>
      </c>
      <c r="L14" s="124"/>
      <c r="M14" s="118"/>
      <c r="N14" s="124"/>
      <c r="O14" s="119"/>
      <c r="P14" s="102"/>
      <c r="Q14" s="863"/>
      <c r="R14" s="102"/>
      <c r="S14" s="104"/>
      <c r="T14" s="102"/>
      <c r="U14" s="104"/>
      <c r="V14" s="113"/>
      <c r="W14" s="117"/>
      <c r="X14" s="102">
        <v>163.95</v>
      </c>
      <c r="Y14" s="104">
        <v>286</v>
      </c>
      <c r="Z14" s="98">
        <v>43.15</v>
      </c>
      <c r="AA14" s="99">
        <v>19</v>
      </c>
      <c r="AB14" s="102"/>
      <c r="AC14" s="104"/>
      <c r="AD14" s="130">
        <v>113.32</v>
      </c>
      <c r="AE14" s="131">
        <v>41</v>
      </c>
      <c r="AF14" s="102"/>
      <c r="AG14" s="104"/>
      <c r="AH14" s="102"/>
      <c r="AI14" s="104"/>
      <c r="AJ14" s="102">
        <v>12.7</v>
      </c>
      <c r="AK14" s="104">
        <v>12</v>
      </c>
      <c r="AL14" s="100"/>
      <c r="AM14" s="92"/>
      <c r="AN14" s="207">
        <v>280.73</v>
      </c>
      <c r="AO14" s="177">
        <v>319</v>
      </c>
      <c r="AP14" s="447">
        <v>79.239999999999995</v>
      </c>
      <c r="AQ14" s="732">
        <v>155</v>
      </c>
      <c r="AR14" s="111"/>
      <c r="AS14" s="112"/>
      <c r="AT14" s="113"/>
      <c r="AU14" s="117"/>
      <c r="AV14" s="113">
        <f t="shared" si="2"/>
        <v>1810.54</v>
      </c>
      <c r="AW14" s="124">
        <f t="shared" si="2"/>
        <v>2573</v>
      </c>
      <c r="AX14" s="113"/>
      <c r="AY14" s="119"/>
      <c r="AZ14" s="113">
        <f t="shared" si="3"/>
        <v>1810.54</v>
      </c>
      <c r="BA14" s="126">
        <f t="shared" si="3"/>
        <v>2573</v>
      </c>
    </row>
    <row r="15" spans="1:59" s="90" customFormat="1" ht="14.25" x14ac:dyDescent="0.3">
      <c r="A15" s="115" t="s">
        <v>40</v>
      </c>
      <c r="B15" s="121">
        <v>20.27</v>
      </c>
      <c r="C15" s="854">
        <v>-3</v>
      </c>
      <c r="D15" s="91">
        <v>18.25</v>
      </c>
      <c r="E15" s="93">
        <v>11</v>
      </c>
      <c r="F15" s="123">
        <v>37.5</v>
      </c>
      <c r="G15" s="97">
        <v>35</v>
      </c>
      <c r="H15" s="123">
        <v>85.4</v>
      </c>
      <c r="I15" s="97">
        <v>126</v>
      </c>
      <c r="J15" s="123">
        <v>-0.25</v>
      </c>
      <c r="K15" s="97">
        <v>53</v>
      </c>
      <c r="L15" s="123">
        <v>5</v>
      </c>
      <c r="M15" s="97">
        <v>5</v>
      </c>
      <c r="N15" s="123">
        <v>292</v>
      </c>
      <c r="O15" s="106">
        <v>12</v>
      </c>
      <c r="P15" s="91">
        <v>16</v>
      </c>
      <c r="Q15" s="93">
        <v>70</v>
      </c>
      <c r="R15" s="91"/>
      <c r="S15" s="92"/>
      <c r="T15" s="91">
        <v>32.4</v>
      </c>
      <c r="U15" s="92">
        <v>44</v>
      </c>
      <c r="V15" s="95">
        <v>973.34</v>
      </c>
      <c r="W15" s="96">
        <v>894</v>
      </c>
      <c r="X15" s="91">
        <v>3872.56</v>
      </c>
      <c r="Y15" s="92">
        <v>2776</v>
      </c>
      <c r="Z15" s="98"/>
      <c r="AA15" s="99"/>
      <c r="AB15" s="91">
        <v>67.37</v>
      </c>
      <c r="AC15" s="92">
        <v>15.27</v>
      </c>
      <c r="AD15" s="91"/>
      <c r="AE15" s="92">
        <v>8</v>
      </c>
      <c r="AF15" s="91">
        <v>3906.45</v>
      </c>
      <c r="AG15" s="92">
        <v>292</v>
      </c>
      <c r="AH15" s="91">
        <v>188.85</v>
      </c>
      <c r="AI15" s="92">
        <v>150</v>
      </c>
      <c r="AJ15" s="91">
        <v>49.11</v>
      </c>
      <c r="AK15" s="92">
        <v>62</v>
      </c>
      <c r="AL15" s="100"/>
      <c r="AM15" s="92"/>
      <c r="AN15" s="207">
        <v>606.24</v>
      </c>
      <c r="AO15" s="177">
        <v>5040</v>
      </c>
      <c r="AP15" s="447"/>
      <c r="AQ15" s="732"/>
      <c r="AR15" s="111"/>
      <c r="AS15" s="112"/>
      <c r="AT15" s="95">
        <v>17.46</v>
      </c>
      <c r="AU15" s="96">
        <v>-28</v>
      </c>
      <c r="AV15" s="113">
        <f t="shared" si="2"/>
        <v>10187.950000000001</v>
      </c>
      <c r="AW15" s="124">
        <f t="shared" si="2"/>
        <v>9562.27</v>
      </c>
      <c r="AX15" s="95">
        <f>333.27+200.64+300.68+31.88</f>
        <v>866.46999999999991</v>
      </c>
      <c r="AY15" s="106">
        <f>317+424+289+73</f>
        <v>1103</v>
      </c>
      <c r="AZ15" s="113">
        <f t="shared" si="3"/>
        <v>11054.42</v>
      </c>
      <c r="BA15" s="126">
        <f t="shared" si="3"/>
        <v>10665.27</v>
      </c>
    </row>
    <row r="16" spans="1:59" s="90" customFormat="1" ht="14.25" x14ac:dyDescent="0.3">
      <c r="A16" s="115" t="s">
        <v>41</v>
      </c>
      <c r="B16" s="121"/>
      <c r="C16" s="854"/>
      <c r="D16" s="91">
        <v>26.85</v>
      </c>
      <c r="E16" s="93">
        <v>2</v>
      </c>
      <c r="F16" s="123">
        <v>150.55000000000001</v>
      </c>
      <c r="G16" s="97">
        <v>212</v>
      </c>
      <c r="H16" s="123"/>
      <c r="I16" s="97"/>
      <c r="J16" s="123"/>
      <c r="K16" s="97"/>
      <c r="L16" s="123"/>
      <c r="M16" s="97"/>
      <c r="N16" s="123"/>
      <c r="O16" s="106"/>
      <c r="P16" s="91"/>
      <c r="Q16" s="93"/>
      <c r="R16" s="91"/>
      <c r="S16" s="92"/>
      <c r="T16" s="91"/>
      <c r="U16" s="92"/>
      <c r="V16" s="95"/>
      <c r="W16" s="96"/>
      <c r="X16" s="91"/>
      <c r="Y16" s="92"/>
      <c r="Z16" s="98"/>
      <c r="AA16" s="99"/>
      <c r="AB16" s="91"/>
      <c r="AC16" s="92"/>
      <c r="AD16" s="91"/>
      <c r="AE16" s="92"/>
      <c r="AF16" s="91"/>
      <c r="AG16" s="92"/>
      <c r="AH16" s="91"/>
      <c r="AI16" s="92"/>
      <c r="AJ16" s="91"/>
      <c r="AK16" s="92"/>
      <c r="AL16" s="100"/>
      <c r="AM16" s="92"/>
      <c r="AN16" s="207"/>
      <c r="AO16" s="177"/>
      <c r="AP16" s="447"/>
      <c r="AQ16" s="732"/>
      <c r="AR16" s="111"/>
      <c r="AS16" s="112"/>
      <c r="AT16" s="95"/>
      <c r="AU16" s="96"/>
      <c r="AV16" s="113">
        <f t="shared" si="2"/>
        <v>177.4</v>
      </c>
      <c r="AW16" s="124"/>
      <c r="AX16" s="95">
        <v>373.45</v>
      </c>
      <c r="AY16" s="106">
        <v>698.93</v>
      </c>
      <c r="AZ16" s="113">
        <f t="shared" ref="AZ16:AZ22" si="4">AV16+AX16</f>
        <v>550.85</v>
      </c>
      <c r="BA16" s="126"/>
    </row>
    <row r="17" spans="1:53" s="90" customFormat="1" ht="14.25" x14ac:dyDescent="0.3">
      <c r="A17" s="115" t="s">
        <v>42</v>
      </c>
      <c r="B17" s="121"/>
      <c r="C17" s="854"/>
      <c r="D17" s="91"/>
      <c r="E17" s="93"/>
      <c r="F17" s="123"/>
      <c r="G17" s="97"/>
      <c r="H17" s="123"/>
      <c r="I17" s="97"/>
      <c r="J17" s="123"/>
      <c r="K17" s="97"/>
      <c r="L17" s="123"/>
      <c r="M17" s="97"/>
      <c r="N17" s="123"/>
      <c r="O17" s="106"/>
      <c r="P17" s="91"/>
      <c r="Q17" s="93"/>
      <c r="R17" s="91"/>
      <c r="S17" s="92"/>
      <c r="T17" s="91"/>
      <c r="U17" s="92"/>
      <c r="V17" s="95"/>
      <c r="W17" s="96"/>
      <c r="X17" s="91"/>
      <c r="Y17" s="92"/>
      <c r="Z17" s="98"/>
      <c r="AA17" s="99"/>
      <c r="AB17" s="91"/>
      <c r="AC17" s="92"/>
      <c r="AD17" s="91"/>
      <c r="AE17" s="92"/>
      <c r="AF17" s="91">
        <v>21464.21</v>
      </c>
      <c r="AG17" s="92">
        <v>22657</v>
      </c>
      <c r="AH17" s="91"/>
      <c r="AI17" s="92"/>
      <c r="AJ17" s="91"/>
      <c r="AK17" s="92"/>
      <c r="AL17" s="100"/>
      <c r="AM17" s="92"/>
      <c r="AN17" s="207"/>
      <c r="AO17" s="177"/>
      <c r="AP17" s="447">
        <v>9.5399999999999991</v>
      </c>
      <c r="AQ17" s="732">
        <v>15.57</v>
      </c>
      <c r="AR17" s="111"/>
      <c r="AS17" s="112"/>
      <c r="AT17" s="95"/>
      <c r="AU17" s="96"/>
      <c r="AV17" s="113">
        <f t="shared" ref="AV17:AW22" si="5">SUM(B17+D17+F17+H17+J17+L17+N17+P17+R17+T17+V17+X17+Z17+AB17+AD17+AF17+AH17+AJ17+AL17+AN17+AP17+AR17+AT17)</f>
        <v>21473.75</v>
      </c>
      <c r="AW17" s="124">
        <f t="shared" si="5"/>
        <v>22672.57</v>
      </c>
      <c r="AX17" s="95"/>
      <c r="AY17" s="106"/>
      <c r="AZ17" s="113">
        <f t="shared" si="4"/>
        <v>21473.75</v>
      </c>
      <c r="BA17" s="126">
        <f t="shared" ref="BA17:BA22" si="6">AW17+AY17</f>
        <v>22672.57</v>
      </c>
    </row>
    <row r="18" spans="1:53" s="90" customFormat="1" ht="14.25" x14ac:dyDescent="0.3">
      <c r="A18" s="115" t="s">
        <v>43</v>
      </c>
      <c r="B18" s="121"/>
      <c r="C18" s="854"/>
      <c r="D18" s="91"/>
      <c r="E18" s="93"/>
      <c r="F18" s="123"/>
      <c r="G18" s="97"/>
      <c r="H18" s="123"/>
      <c r="I18" s="97"/>
      <c r="J18" s="123"/>
      <c r="K18" s="97"/>
      <c r="L18" s="123"/>
      <c r="M18" s="97"/>
      <c r="N18" s="123"/>
      <c r="O18" s="106"/>
      <c r="P18" s="91"/>
      <c r="Q18" s="93"/>
      <c r="R18" s="91"/>
      <c r="S18" s="92"/>
      <c r="T18" s="91"/>
      <c r="U18" s="92"/>
      <c r="V18" s="95">
        <v>14933.24</v>
      </c>
      <c r="W18" s="96">
        <v>3347</v>
      </c>
      <c r="X18" s="91"/>
      <c r="Y18" s="92"/>
      <c r="Z18" s="98"/>
      <c r="AA18" s="99"/>
      <c r="AB18" s="91"/>
      <c r="AC18" s="92"/>
      <c r="AD18" s="91"/>
      <c r="AE18" s="92"/>
      <c r="AF18" s="91"/>
      <c r="AG18" s="92"/>
      <c r="AH18" s="91"/>
      <c r="AI18" s="92"/>
      <c r="AJ18" s="91"/>
      <c r="AK18" s="92"/>
      <c r="AL18" s="100"/>
      <c r="AM18" s="92"/>
      <c r="AN18" s="207"/>
      <c r="AO18" s="177"/>
      <c r="AP18" s="447"/>
      <c r="AQ18" s="732"/>
      <c r="AR18" s="111"/>
      <c r="AS18" s="112"/>
      <c r="AT18" s="95"/>
      <c r="AU18" s="96"/>
      <c r="AV18" s="113">
        <f t="shared" si="5"/>
        <v>14933.24</v>
      </c>
      <c r="AW18" s="124">
        <f t="shared" si="5"/>
        <v>3347</v>
      </c>
      <c r="AX18" s="95"/>
      <c r="AY18" s="106"/>
      <c r="AZ18" s="113">
        <f t="shared" si="4"/>
        <v>14933.24</v>
      </c>
      <c r="BA18" s="126">
        <f t="shared" si="6"/>
        <v>3347</v>
      </c>
    </row>
    <row r="19" spans="1:53" s="90" customFormat="1" ht="14.25" x14ac:dyDescent="0.3">
      <c r="A19" s="115" t="s">
        <v>44</v>
      </c>
      <c r="B19" s="121"/>
      <c r="C19" s="854"/>
      <c r="D19" s="91"/>
      <c r="E19" s="93"/>
      <c r="F19" s="123"/>
      <c r="G19" s="97"/>
      <c r="H19" s="123"/>
      <c r="I19" s="97"/>
      <c r="J19" s="123"/>
      <c r="K19" s="97"/>
      <c r="L19" s="123"/>
      <c r="M19" s="97"/>
      <c r="N19" s="123"/>
      <c r="O19" s="106"/>
      <c r="P19" s="91"/>
      <c r="Q19" s="93"/>
      <c r="R19" s="91"/>
      <c r="S19" s="92"/>
      <c r="T19" s="91"/>
      <c r="U19" s="92"/>
      <c r="V19" s="95">
        <v>430.97</v>
      </c>
      <c r="W19" s="96">
        <v>418</v>
      </c>
      <c r="X19" s="91"/>
      <c r="Y19" s="92"/>
      <c r="Z19" s="98"/>
      <c r="AA19" s="99"/>
      <c r="AB19" s="91"/>
      <c r="AC19" s="92"/>
      <c r="AD19" s="91"/>
      <c r="AE19" s="92"/>
      <c r="AF19" s="91"/>
      <c r="AG19" s="92"/>
      <c r="AH19" s="91"/>
      <c r="AI19" s="92"/>
      <c r="AJ19" s="91"/>
      <c r="AK19" s="92"/>
      <c r="AL19" s="100"/>
      <c r="AM19" s="92"/>
      <c r="AN19" s="207"/>
      <c r="AO19" s="177"/>
      <c r="AP19" s="447"/>
      <c r="AQ19" s="732"/>
      <c r="AR19" s="111"/>
      <c r="AS19" s="112"/>
      <c r="AT19" s="95"/>
      <c r="AU19" s="96"/>
      <c r="AV19" s="113">
        <f t="shared" si="5"/>
        <v>430.97</v>
      </c>
      <c r="AW19" s="124">
        <f t="shared" si="5"/>
        <v>418</v>
      </c>
      <c r="AX19" s="95"/>
      <c r="AY19" s="106"/>
      <c r="AZ19" s="113">
        <f t="shared" si="4"/>
        <v>430.97</v>
      </c>
      <c r="BA19" s="126">
        <f t="shared" si="6"/>
        <v>418</v>
      </c>
    </row>
    <row r="20" spans="1:53" s="90" customFormat="1" ht="14.25" x14ac:dyDescent="0.3">
      <c r="A20" s="115" t="s">
        <v>45</v>
      </c>
      <c r="B20" s="121"/>
      <c r="C20" s="854"/>
      <c r="D20" s="91"/>
      <c r="E20" s="93"/>
      <c r="F20" s="123"/>
      <c r="G20" s="97"/>
      <c r="H20" s="123">
        <v>292.83</v>
      </c>
      <c r="I20" s="97">
        <v>106</v>
      </c>
      <c r="J20" s="123"/>
      <c r="K20" s="97"/>
      <c r="L20" s="123"/>
      <c r="M20" s="97"/>
      <c r="N20" s="123"/>
      <c r="O20" s="106"/>
      <c r="P20" s="91">
        <v>2</v>
      </c>
      <c r="Q20" s="93">
        <v>6</v>
      </c>
      <c r="R20" s="91"/>
      <c r="S20" s="92"/>
      <c r="T20" s="91"/>
      <c r="U20" s="92"/>
      <c r="V20" s="95">
        <v>588</v>
      </c>
      <c r="W20" s="96">
        <v>807</v>
      </c>
      <c r="X20" s="91">
        <v>800.73</v>
      </c>
      <c r="Y20" s="92">
        <v>1052</v>
      </c>
      <c r="Z20" s="98"/>
      <c r="AA20" s="99"/>
      <c r="AB20" s="91"/>
      <c r="AC20" s="92"/>
      <c r="AD20" s="91"/>
      <c r="AE20" s="92">
        <v>54</v>
      </c>
      <c r="AF20" s="91"/>
      <c r="AG20" s="92"/>
      <c r="AH20" s="91"/>
      <c r="AI20" s="92"/>
      <c r="AJ20" s="91"/>
      <c r="AK20" s="92"/>
      <c r="AL20" s="100"/>
      <c r="AM20" s="92"/>
      <c r="AN20" s="207">
        <v>281.37</v>
      </c>
      <c r="AO20" s="177">
        <v>255</v>
      </c>
      <c r="AP20" s="447"/>
      <c r="AQ20" s="732"/>
      <c r="AR20" s="111"/>
      <c r="AS20" s="112"/>
      <c r="AT20" s="95">
        <v>82.56</v>
      </c>
      <c r="AU20" s="96">
        <v>134</v>
      </c>
      <c r="AV20" s="113">
        <f t="shared" si="5"/>
        <v>2047.4899999999998</v>
      </c>
      <c r="AW20" s="124">
        <f t="shared" si="5"/>
        <v>2414</v>
      </c>
      <c r="AX20" s="95"/>
      <c r="AY20" s="106"/>
      <c r="AZ20" s="113">
        <f t="shared" si="4"/>
        <v>2047.4899999999998</v>
      </c>
      <c r="BA20" s="126">
        <f t="shared" si="6"/>
        <v>2414</v>
      </c>
    </row>
    <row r="21" spans="1:53" s="90" customFormat="1" ht="14.25" x14ac:dyDescent="0.3">
      <c r="A21" s="115" t="s">
        <v>46</v>
      </c>
      <c r="B21" s="121"/>
      <c r="C21" s="854"/>
      <c r="D21" s="91"/>
      <c r="E21" s="93"/>
      <c r="F21" s="123"/>
      <c r="G21" s="97"/>
      <c r="H21" s="123"/>
      <c r="I21" s="97"/>
      <c r="J21" s="123"/>
      <c r="K21" s="97"/>
      <c r="L21" s="123"/>
      <c r="M21" s="97"/>
      <c r="N21" s="123">
        <v>25</v>
      </c>
      <c r="O21" s="106">
        <v>10</v>
      </c>
      <c r="P21" s="91"/>
      <c r="Q21" s="93"/>
      <c r="R21" s="91"/>
      <c r="S21" s="92"/>
      <c r="T21" s="91">
        <v>18.29</v>
      </c>
      <c r="U21" s="92">
        <v>12</v>
      </c>
      <c r="V21" s="95"/>
      <c r="W21" s="96"/>
      <c r="X21" s="91"/>
      <c r="Y21" s="92"/>
      <c r="Z21" s="98"/>
      <c r="AA21" s="99"/>
      <c r="AB21" s="91">
        <v>22.3</v>
      </c>
      <c r="AC21" s="92">
        <v>36.979999999999997</v>
      </c>
      <c r="AD21" s="91"/>
      <c r="AE21" s="92"/>
      <c r="AF21" s="91"/>
      <c r="AG21" s="92"/>
      <c r="AH21" s="91"/>
      <c r="AI21" s="92"/>
      <c r="AJ21" s="91">
        <v>14.04</v>
      </c>
      <c r="AK21" s="92">
        <v>18</v>
      </c>
      <c r="AL21" s="100"/>
      <c r="AM21" s="92"/>
      <c r="AN21" s="207"/>
      <c r="AO21" s="177"/>
      <c r="AP21" s="447"/>
      <c r="AQ21" s="732"/>
      <c r="AR21" s="111">
        <v>11</v>
      </c>
      <c r="AS21" s="112">
        <v>7</v>
      </c>
      <c r="AT21" s="95"/>
      <c r="AU21" s="96"/>
      <c r="AV21" s="113">
        <f t="shared" si="5"/>
        <v>90.63</v>
      </c>
      <c r="AW21" s="124">
        <f t="shared" si="5"/>
        <v>83.97999999999999</v>
      </c>
      <c r="AX21" s="95"/>
      <c r="AY21" s="106"/>
      <c r="AZ21" s="113">
        <f t="shared" si="4"/>
        <v>90.63</v>
      </c>
      <c r="BA21" s="126">
        <f t="shared" si="6"/>
        <v>83.97999999999999</v>
      </c>
    </row>
    <row r="22" spans="1:53" s="90" customFormat="1" ht="14.25" x14ac:dyDescent="0.3">
      <c r="A22" s="115" t="s">
        <v>47</v>
      </c>
      <c r="B22" s="121"/>
      <c r="C22" s="854"/>
      <c r="D22" s="91"/>
      <c r="E22" s="93"/>
      <c r="F22" s="123"/>
      <c r="G22" s="97"/>
      <c r="H22" s="123">
        <v>662.16</v>
      </c>
      <c r="I22" s="97">
        <v>101</v>
      </c>
      <c r="J22" s="123"/>
      <c r="K22" s="97"/>
      <c r="L22" s="123"/>
      <c r="M22" s="97"/>
      <c r="N22" s="123">
        <v>31</v>
      </c>
      <c r="O22" s="106">
        <v>117</v>
      </c>
      <c r="P22" s="91"/>
      <c r="Q22" s="93"/>
      <c r="R22" s="91"/>
      <c r="S22" s="92"/>
      <c r="T22" s="91">
        <f>519.73+17.7+12.39</f>
        <v>549.82000000000005</v>
      </c>
      <c r="U22" s="128">
        <f>1390+15+18</f>
        <v>1423</v>
      </c>
      <c r="V22" s="95"/>
      <c r="W22" s="96"/>
      <c r="X22" s="91"/>
      <c r="Y22" s="92"/>
      <c r="Z22" s="98">
        <v>4.07</v>
      </c>
      <c r="AA22" s="99"/>
      <c r="AB22" s="91"/>
      <c r="AC22" s="92"/>
      <c r="AD22" s="91">
        <f>-2.78+36.28</f>
        <v>33.5</v>
      </c>
      <c r="AE22" s="92">
        <v>73</v>
      </c>
      <c r="AF22" s="91">
        <v>644.01</v>
      </c>
      <c r="AG22" s="92">
        <v>1028</v>
      </c>
      <c r="AH22" s="91"/>
      <c r="AI22" s="92"/>
      <c r="AJ22" s="91">
        <v>278.45</v>
      </c>
      <c r="AK22" s="92">
        <v>343</v>
      </c>
      <c r="AL22" s="100"/>
      <c r="AM22" s="92"/>
      <c r="AN22" s="207">
        <v>30.62</v>
      </c>
      <c r="AO22" s="177">
        <v>109</v>
      </c>
      <c r="AP22" s="447">
        <v>57.55</v>
      </c>
      <c r="AQ22" s="732">
        <v>38</v>
      </c>
      <c r="AR22" s="111">
        <f>121.47+3.3+34.13+53.5+0.26</f>
        <v>212.66</v>
      </c>
      <c r="AS22" s="112">
        <f>441+14+78+12</f>
        <v>545</v>
      </c>
      <c r="AT22" s="95">
        <v>3522.45</v>
      </c>
      <c r="AU22" s="96">
        <v>3706</v>
      </c>
      <c r="AV22" s="113">
        <f t="shared" si="5"/>
        <v>6026.2899999999991</v>
      </c>
      <c r="AW22" s="124">
        <f t="shared" si="5"/>
        <v>7483</v>
      </c>
      <c r="AX22" s="95">
        <f>16677+79.97</f>
        <v>16756.97</v>
      </c>
      <c r="AY22" s="106">
        <f>18858+163</f>
        <v>19021</v>
      </c>
      <c r="AZ22" s="113">
        <f t="shared" si="4"/>
        <v>22783.260000000002</v>
      </c>
      <c r="BA22" s="126">
        <f t="shared" si="6"/>
        <v>26504</v>
      </c>
    </row>
    <row r="23" spans="1:53" s="90" customFormat="1" ht="14.25" x14ac:dyDescent="0.3">
      <c r="A23" s="115" t="s">
        <v>48</v>
      </c>
      <c r="B23" s="121"/>
      <c r="C23" s="854"/>
      <c r="D23" s="91"/>
      <c r="E23" s="93"/>
      <c r="F23" s="123"/>
      <c r="G23" s="97"/>
      <c r="H23" s="123"/>
      <c r="I23" s="97"/>
      <c r="J23" s="123"/>
      <c r="K23" s="97"/>
      <c r="L23" s="123"/>
      <c r="M23" s="97"/>
      <c r="N23" s="123"/>
      <c r="O23" s="106"/>
      <c r="P23" s="91"/>
      <c r="Q23" s="93"/>
      <c r="R23" s="91"/>
      <c r="S23" s="92"/>
      <c r="T23" s="91"/>
      <c r="U23" s="92"/>
      <c r="V23" s="95"/>
      <c r="W23" s="96"/>
      <c r="X23" s="91"/>
      <c r="Y23" s="92"/>
      <c r="Z23" s="98"/>
      <c r="AA23" s="99"/>
      <c r="AB23" s="91"/>
      <c r="AC23" s="92"/>
      <c r="AD23" s="91"/>
      <c r="AE23" s="92"/>
      <c r="AF23" s="91"/>
      <c r="AG23" s="92"/>
      <c r="AH23" s="91"/>
      <c r="AI23" s="92"/>
      <c r="AJ23" s="91"/>
      <c r="AK23" s="92"/>
      <c r="AL23" s="100"/>
      <c r="AM23" s="92"/>
      <c r="AN23" s="95"/>
      <c r="AO23" s="106"/>
      <c r="AP23" s="447"/>
      <c r="AQ23" s="732"/>
      <c r="AR23" s="111"/>
      <c r="AS23" s="112"/>
      <c r="AT23" s="95"/>
      <c r="AU23" s="96"/>
      <c r="AV23" s="113"/>
      <c r="AW23" s="124"/>
      <c r="AX23" s="95"/>
      <c r="AY23" s="106"/>
      <c r="AZ23" s="113"/>
      <c r="BA23" s="126"/>
    </row>
    <row r="24" spans="1:53" s="90" customFormat="1" ht="14.25" x14ac:dyDescent="0.3">
      <c r="A24" s="115" t="s">
        <v>31</v>
      </c>
      <c r="B24" s="129">
        <v>-28902.83</v>
      </c>
      <c r="C24" s="888">
        <v>-7147</v>
      </c>
      <c r="D24" s="102">
        <v>-6349.44</v>
      </c>
      <c r="E24" s="863">
        <v>-1216</v>
      </c>
      <c r="F24" s="124">
        <v>-9734.11</v>
      </c>
      <c r="G24" s="118">
        <v>-1558</v>
      </c>
      <c r="H24" s="124">
        <v>-12489.6</v>
      </c>
      <c r="I24" s="118">
        <v>-5809</v>
      </c>
      <c r="J24" s="124">
        <v>-3989.39</v>
      </c>
      <c r="K24" s="118">
        <v>-1394</v>
      </c>
      <c r="L24" s="124">
        <v>-8086.9</v>
      </c>
      <c r="M24" s="118">
        <v>-2603</v>
      </c>
      <c r="N24" s="124">
        <v>-2938</v>
      </c>
      <c r="O24" s="119">
        <v>-1744</v>
      </c>
      <c r="P24" s="102">
        <v>-5027.18</v>
      </c>
      <c r="Q24" s="863">
        <v>-2073</v>
      </c>
      <c r="R24" s="102">
        <v>-15553.62</v>
      </c>
      <c r="S24" s="104">
        <v>-3900</v>
      </c>
      <c r="T24" s="102">
        <v>-5288.59</v>
      </c>
      <c r="U24" s="104">
        <v>-1116</v>
      </c>
      <c r="V24" s="113">
        <v>-64171.05</v>
      </c>
      <c r="W24" s="117">
        <v>-16177</v>
      </c>
      <c r="X24" s="102">
        <v>-97148.76</v>
      </c>
      <c r="Y24" s="104">
        <v>-15627</v>
      </c>
      <c r="Z24" s="98">
        <v>-1548.56</v>
      </c>
      <c r="AA24" s="99">
        <v>-303</v>
      </c>
      <c r="AB24" s="102">
        <v>-10796.88</v>
      </c>
      <c r="AC24" s="104">
        <v>-6363.59</v>
      </c>
      <c r="AD24" s="130">
        <v>-21787.29</v>
      </c>
      <c r="AE24" s="131">
        <v>-6960</v>
      </c>
      <c r="AF24" s="102">
        <v>-46826.54</v>
      </c>
      <c r="AG24" s="104">
        <v>-12530</v>
      </c>
      <c r="AH24" s="102">
        <v>-20231</v>
      </c>
      <c r="AI24" s="104">
        <v>-8773</v>
      </c>
      <c r="AJ24" s="102">
        <v>-2559.67</v>
      </c>
      <c r="AK24" s="104">
        <v>-390</v>
      </c>
      <c r="AL24" s="100"/>
      <c r="AM24" s="92"/>
      <c r="AN24" s="207">
        <v>-26186.21</v>
      </c>
      <c r="AO24" s="177">
        <v>-5562</v>
      </c>
      <c r="AP24" s="447">
        <v>-116.58</v>
      </c>
      <c r="AQ24" s="732">
        <v>-252</v>
      </c>
      <c r="AR24" s="111">
        <v>-4508.82</v>
      </c>
      <c r="AS24" s="112">
        <v>-4629</v>
      </c>
      <c r="AT24" s="113">
        <v>-53498.44</v>
      </c>
      <c r="AU24" s="117">
        <v>-10002</v>
      </c>
      <c r="AV24" s="113">
        <f>SUM(B24+D24+F24+H24+J24+L24+N24+P24+R24+T24+V24+X24+Z24+AB24+AD24+AF24+AH24+AJ24+AL24+AN24+AP24+AR24+AT24)</f>
        <v>-447739.46</v>
      </c>
      <c r="AW24" s="124">
        <f>SUM(C24+E24+G24+I24+K24+M24+O24+Q24+S24+U24+W24+Y24+AA24+AC24+AE24+AG24+AI24+AK24+AM24+AO24+AQ24+AS24+AU24)</f>
        <v>-116128.59</v>
      </c>
      <c r="AX24" s="113">
        <v>-24445.24</v>
      </c>
      <c r="AY24" s="119">
        <v>-7864</v>
      </c>
      <c r="AZ24" s="113">
        <f>AV24+AX24</f>
        <v>-472184.7</v>
      </c>
      <c r="BA24" s="126">
        <f>AW24+AY24</f>
        <v>-123992.59</v>
      </c>
    </row>
    <row r="25" spans="1:53" s="90" customFormat="1" ht="14.25" x14ac:dyDescent="0.3">
      <c r="A25" s="115" t="s">
        <v>32</v>
      </c>
      <c r="B25" s="121"/>
      <c r="C25" s="854"/>
      <c r="D25" s="91"/>
      <c r="E25" s="93"/>
      <c r="F25" s="123"/>
      <c r="G25" s="97"/>
      <c r="H25" s="123"/>
      <c r="I25" s="97"/>
      <c r="J25" s="123"/>
      <c r="K25" s="97"/>
      <c r="L25" s="123"/>
      <c r="M25" s="97"/>
      <c r="N25" s="123"/>
      <c r="O25" s="106"/>
      <c r="P25" s="91"/>
      <c r="Q25" s="93"/>
      <c r="R25" s="91"/>
      <c r="S25" s="92"/>
      <c r="T25" s="91"/>
      <c r="U25" s="92"/>
      <c r="V25" s="95"/>
      <c r="W25" s="96"/>
      <c r="X25" s="91"/>
      <c r="Y25" s="92"/>
      <c r="Z25" s="98"/>
      <c r="AA25" s="99"/>
      <c r="AB25" s="91"/>
      <c r="AC25" s="92"/>
      <c r="AD25" s="91"/>
      <c r="AE25" s="92"/>
      <c r="AF25" s="91"/>
      <c r="AG25" s="92"/>
      <c r="AH25" s="91"/>
      <c r="AI25" s="92"/>
      <c r="AJ25" s="91"/>
      <c r="AK25" s="92"/>
      <c r="AL25" s="100"/>
      <c r="AM25" s="92"/>
      <c r="AN25" s="95"/>
      <c r="AO25" s="106"/>
      <c r="AP25" s="447"/>
      <c r="AQ25" s="732"/>
      <c r="AR25" s="111"/>
      <c r="AS25" s="112"/>
      <c r="AT25" s="95"/>
      <c r="AU25" s="96"/>
      <c r="AV25" s="113"/>
      <c r="AW25" s="124"/>
      <c r="AX25" s="111"/>
      <c r="AY25" s="898"/>
      <c r="AZ25" s="113"/>
      <c r="BA25" s="126"/>
    </row>
    <row r="26" spans="1:53" s="90" customFormat="1" ht="14.25" x14ac:dyDescent="0.3">
      <c r="A26" s="115" t="s">
        <v>49</v>
      </c>
      <c r="B26" s="121"/>
      <c r="C26" s="854"/>
      <c r="D26" s="91"/>
      <c r="E26" s="93"/>
      <c r="F26" s="123"/>
      <c r="G26" s="97"/>
      <c r="H26" s="123"/>
      <c r="I26" s="97"/>
      <c r="J26" s="123"/>
      <c r="K26" s="97"/>
      <c r="L26" s="123"/>
      <c r="M26" s="97"/>
      <c r="N26" s="123"/>
      <c r="O26" s="106"/>
      <c r="P26" s="91"/>
      <c r="Q26" s="93"/>
      <c r="R26" s="91"/>
      <c r="S26" s="92"/>
      <c r="T26" s="91"/>
      <c r="U26" s="92"/>
      <c r="V26" s="95"/>
      <c r="W26" s="96"/>
      <c r="X26" s="91"/>
      <c r="Y26" s="92"/>
      <c r="Z26" s="98"/>
      <c r="AA26" s="99"/>
      <c r="AB26" s="91"/>
      <c r="AC26" s="92"/>
      <c r="AD26" s="91"/>
      <c r="AE26" s="92"/>
      <c r="AF26" s="91"/>
      <c r="AG26" s="92"/>
      <c r="AH26" s="91"/>
      <c r="AI26" s="92"/>
      <c r="AJ26" s="91"/>
      <c r="AK26" s="92"/>
      <c r="AL26" s="100"/>
      <c r="AM26" s="92"/>
      <c r="AN26" s="95"/>
      <c r="AO26" s="106"/>
      <c r="AP26" s="447"/>
      <c r="AQ26" s="732"/>
      <c r="AR26" s="111"/>
      <c r="AS26" s="112"/>
      <c r="AT26" s="95"/>
      <c r="AU26" s="96"/>
      <c r="AV26" s="113"/>
      <c r="AW26" s="124"/>
      <c r="AX26" s="111"/>
      <c r="AY26" s="898"/>
      <c r="AZ26" s="113"/>
      <c r="BA26" s="126"/>
    </row>
    <row r="27" spans="1:53" s="90" customFormat="1" ht="14.25" x14ac:dyDescent="0.3">
      <c r="A27" s="115" t="s">
        <v>50</v>
      </c>
      <c r="B27" s="121">
        <v>-147.19</v>
      </c>
      <c r="C27" s="854">
        <v>-85</v>
      </c>
      <c r="D27" s="91">
        <v>-8.82</v>
      </c>
      <c r="E27" s="93">
        <v>-4</v>
      </c>
      <c r="F27" s="123"/>
      <c r="G27" s="97"/>
      <c r="H27" s="123"/>
      <c r="I27" s="97">
        <v>-19</v>
      </c>
      <c r="J27" s="123">
        <v>-0.15</v>
      </c>
      <c r="K27" s="97"/>
      <c r="L27" s="123"/>
      <c r="M27" s="97"/>
      <c r="N27" s="123">
        <v>-4</v>
      </c>
      <c r="O27" s="106">
        <v>-1</v>
      </c>
      <c r="P27" s="91">
        <v>-11</v>
      </c>
      <c r="Q27" s="93">
        <v>-42</v>
      </c>
      <c r="R27" s="91"/>
      <c r="S27" s="92"/>
      <c r="T27" s="91">
        <v>-5</v>
      </c>
      <c r="U27" s="92">
        <v>-14</v>
      </c>
      <c r="V27" s="95">
        <v>-154.38999999999999</v>
      </c>
      <c r="W27" s="96">
        <v>-455</v>
      </c>
      <c r="X27" s="91">
        <f>-6-1807.08</f>
        <v>-1813.08</v>
      </c>
      <c r="Y27" s="92">
        <v>-1323</v>
      </c>
      <c r="Z27" s="98"/>
      <c r="AA27" s="99"/>
      <c r="AB27" s="91">
        <v>-30.65</v>
      </c>
      <c r="AC27" s="92">
        <v>-3.78</v>
      </c>
      <c r="AD27" s="91"/>
      <c r="AE27" s="92">
        <v>-5</v>
      </c>
      <c r="AF27" s="91">
        <v>-182.9</v>
      </c>
      <c r="AG27" s="92">
        <v>-105</v>
      </c>
      <c r="AH27" s="91">
        <v>-58</v>
      </c>
      <c r="AI27" s="92">
        <v>-38</v>
      </c>
      <c r="AJ27" s="91">
        <v>-9.2100000000000009</v>
      </c>
      <c r="AK27" s="92">
        <v>-1</v>
      </c>
      <c r="AL27" s="100"/>
      <c r="AM27" s="92"/>
      <c r="AN27" s="207">
        <v>-10.06</v>
      </c>
      <c r="AO27" s="177">
        <v>-40</v>
      </c>
      <c r="AP27" s="447"/>
      <c r="AQ27" s="732"/>
      <c r="AR27" s="111">
        <v>-46.59</v>
      </c>
      <c r="AS27" s="112">
        <v>-84</v>
      </c>
      <c r="AT27" s="95"/>
      <c r="AU27" s="96"/>
      <c r="AV27" s="113">
        <f>SUM(B27+D27+F27+H27+J27+L27+N27+P27+R27+T27+V27+X27+Z27+AB27+AD27+AF27+AH27+AJ27+AL27+AN27+AP27+AR27+AT27)</f>
        <v>-2481.0400000000004</v>
      </c>
      <c r="AW27" s="124">
        <f>SUM(C27+E27+G27+I27+K27+M27+O27+Q27+S27+U27+W27+Y27+AA27+AC27+AE27+AG27+AI27+AK27+AM27+AO27+AQ27+AS27+AU27)</f>
        <v>-2219.7799999999997</v>
      </c>
      <c r="AX27" s="111">
        <v>-808.34</v>
      </c>
      <c r="AY27" s="898">
        <v>-828</v>
      </c>
      <c r="AZ27" s="113">
        <f>AV27+AX27</f>
        <v>-3289.3800000000006</v>
      </c>
      <c r="BA27" s="126">
        <f>AW27+AY27</f>
        <v>-3047.7799999999997</v>
      </c>
    </row>
    <row r="28" spans="1:53" s="90" customFormat="1" ht="14.25" x14ac:dyDescent="0.3">
      <c r="A28" s="115" t="s">
        <v>51</v>
      </c>
      <c r="B28" s="121"/>
      <c r="C28" s="854"/>
      <c r="D28" s="91">
        <v>-31.41</v>
      </c>
      <c r="E28" s="93">
        <v>-21</v>
      </c>
      <c r="F28" s="123"/>
      <c r="G28" s="97"/>
      <c r="H28" s="123">
        <v>-2.4</v>
      </c>
      <c r="I28" s="97">
        <v>-687</v>
      </c>
      <c r="J28" s="123">
        <v>-1</v>
      </c>
      <c r="K28" s="97">
        <v>-45</v>
      </c>
      <c r="L28" s="123"/>
      <c r="M28" s="97"/>
      <c r="N28" s="123"/>
      <c r="O28" s="106"/>
      <c r="P28" s="91"/>
      <c r="Q28" s="93"/>
      <c r="R28" s="91"/>
      <c r="S28" s="92"/>
      <c r="T28" s="91"/>
      <c r="U28" s="92"/>
      <c r="V28" s="95"/>
      <c r="W28" s="96"/>
      <c r="X28" s="91"/>
      <c r="Y28" s="92">
        <v>-30</v>
      </c>
      <c r="Z28" s="98"/>
      <c r="AA28" s="99"/>
      <c r="AB28" s="91"/>
      <c r="AC28" s="92"/>
      <c r="AD28" s="91">
        <v>-66.28</v>
      </c>
      <c r="AE28" s="92">
        <v>-1</v>
      </c>
      <c r="AF28" s="91"/>
      <c r="AG28" s="92"/>
      <c r="AH28" s="91"/>
      <c r="AI28" s="92"/>
      <c r="AJ28" s="91"/>
      <c r="AK28" s="92"/>
      <c r="AL28" s="100"/>
      <c r="AM28" s="92"/>
      <c r="AN28" s="207"/>
      <c r="AO28" s="177"/>
      <c r="AP28" s="447"/>
      <c r="AQ28" s="732"/>
      <c r="AR28" s="111"/>
      <c r="AS28" s="112"/>
      <c r="AT28" s="95"/>
      <c r="AU28" s="96"/>
      <c r="AV28" s="113">
        <f>SUM(B28+D28+F28+H28+J28+L28+N28+P28+R28+T28+V28+X28+Z28+AB28+AD28+AF28+AH28+AJ28+AL28+AN28+AP28+AR28+AT28)</f>
        <v>-101.09</v>
      </c>
      <c r="AW28" s="124">
        <f>SUM(C28+E28+G28+I28+K28+M28+O28+Q28+S28+U28+W28+Y28+AA28+AC28+AE28+AG28+AI28+AK28+AM28+AO28+AQ28+AS28+AU28)</f>
        <v>-784</v>
      </c>
      <c r="AX28" s="111"/>
      <c r="AY28" s="898"/>
      <c r="AZ28" s="113">
        <f>AV28+AX28</f>
        <v>-101.09</v>
      </c>
      <c r="BA28" s="126">
        <f>AW28+AY28</f>
        <v>-784</v>
      </c>
    </row>
    <row r="29" spans="1:53" s="90" customFormat="1" ht="14.25" x14ac:dyDescent="0.3">
      <c r="A29" s="115" t="s">
        <v>52</v>
      </c>
      <c r="B29" s="129"/>
      <c r="C29" s="888"/>
      <c r="D29" s="102"/>
      <c r="E29" s="863"/>
      <c r="F29" s="124"/>
      <c r="G29" s="118"/>
      <c r="H29" s="124"/>
      <c r="I29" s="118"/>
      <c r="J29" s="124"/>
      <c r="K29" s="118"/>
      <c r="L29" s="124"/>
      <c r="M29" s="118"/>
      <c r="N29" s="124"/>
      <c r="O29" s="119"/>
      <c r="P29" s="102"/>
      <c r="Q29" s="863"/>
      <c r="R29" s="102"/>
      <c r="S29" s="104"/>
      <c r="T29" s="102"/>
      <c r="U29" s="104"/>
      <c r="V29" s="113"/>
      <c r="W29" s="117"/>
      <c r="X29" s="102"/>
      <c r="Y29" s="104"/>
      <c r="Z29" s="98"/>
      <c r="AA29" s="99"/>
      <c r="AB29" s="102"/>
      <c r="AC29" s="104"/>
      <c r="AD29" s="130"/>
      <c r="AE29" s="131"/>
      <c r="AF29" s="102"/>
      <c r="AG29" s="104"/>
      <c r="AH29" s="102"/>
      <c r="AI29" s="104"/>
      <c r="AJ29" s="102"/>
      <c r="AK29" s="104"/>
      <c r="AL29" s="100"/>
      <c r="AM29" s="92"/>
      <c r="AN29" s="95"/>
      <c r="AO29" s="106"/>
      <c r="AP29" s="447"/>
      <c r="AQ29" s="732"/>
      <c r="AR29" s="111"/>
      <c r="AS29" s="112"/>
      <c r="AT29" s="113"/>
      <c r="AU29" s="117"/>
      <c r="AV29" s="113"/>
      <c r="AW29" s="124"/>
      <c r="AX29" s="113"/>
      <c r="AY29" s="119"/>
      <c r="AZ29" s="113"/>
      <c r="BA29" s="126"/>
    </row>
    <row r="30" spans="1:53" s="90" customFormat="1" ht="14.25" x14ac:dyDescent="0.3">
      <c r="A30" s="115" t="s">
        <v>31</v>
      </c>
      <c r="B30" s="121"/>
      <c r="C30" s="854"/>
      <c r="D30" s="91"/>
      <c r="E30" s="93"/>
      <c r="F30" s="123"/>
      <c r="G30" s="97"/>
      <c r="H30" s="123"/>
      <c r="I30" s="97"/>
      <c r="J30" s="123"/>
      <c r="K30" s="97"/>
      <c r="L30" s="123"/>
      <c r="M30" s="97"/>
      <c r="N30" s="123"/>
      <c r="O30" s="106"/>
      <c r="P30" s="91"/>
      <c r="Q30" s="93"/>
      <c r="R30" s="91"/>
      <c r="S30" s="92"/>
      <c r="T30" s="91"/>
      <c r="U30" s="92"/>
      <c r="V30" s="95"/>
      <c r="W30" s="96"/>
      <c r="X30" s="91"/>
      <c r="Y30" s="92">
        <v>1</v>
      </c>
      <c r="Z30" s="98"/>
      <c r="AA30" s="99"/>
      <c r="AB30" s="91"/>
      <c r="AC30" s="92"/>
      <c r="AD30" s="91"/>
      <c r="AE30" s="92"/>
      <c r="AF30" s="91"/>
      <c r="AG30" s="92"/>
      <c r="AH30" s="91"/>
      <c r="AI30" s="92"/>
      <c r="AJ30" s="91"/>
      <c r="AK30" s="92"/>
      <c r="AL30" s="100"/>
      <c r="AM30" s="92"/>
      <c r="AN30" s="95"/>
      <c r="AO30" s="106"/>
      <c r="AP30" s="447"/>
      <c r="AQ30" s="732"/>
      <c r="AR30" s="111"/>
      <c r="AS30" s="112"/>
      <c r="AT30" s="95"/>
      <c r="AU30" s="96"/>
      <c r="AV30" s="113">
        <f>SUM(B30+D30+F30+H30+J30+L30+N30+P30+R30+T30+V30+X30+Z30+AB30+AD30+AF30+AH30+AJ30+AL30+AN30+AP30+AR30+AT30)</f>
        <v>0</v>
      </c>
      <c r="AW30" s="124">
        <f>SUM(C30+E30+G30+I30+K30+M30+O30+Q30+S30+U30+W30+Y30+AA30+AC30+AE30+AG30+AI30+AK30+AM30+AO30+AQ30+AS30+AU30)</f>
        <v>1</v>
      </c>
      <c r="AX30" s="111"/>
      <c r="AY30" s="898"/>
      <c r="AZ30" s="113">
        <f>AV30+AX30</f>
        <v>0</v>
      </c>
      <c r="BA30" s="126">
        <f>AW30+AY30</f>
        <v>1</v>
      </c>
    </row>
    <row r="31" spans="1:53" s="90" customFormat="1" ht="14.25" x14ac:dyDescent="0.3">
      <c r="A31" s="115" t="s">
        <v>32</v>
      </c>
      <c r="B31" s="121"/>
      <c r="C31" s="854"/>
      <c r="D31" s="91"/>
      <c r="E31" s="93"/>
      <c r="F31" s="123"/>
      <c r="G31" s="97"/>
      <c r="H31" s="123"/>
      <c r="I31" s="97"/>
      <c r="J31" s="123"/>
      <c r="K31" s="97"/>
      <c r="L31" s="123"/>
      <c r="M31" s="97"/>
      <c r="N31" s="123"/>
      <c r="O31" s="106"/>
      <c r="P31" s="91"/>
      <c r="Q31" s="93"/>
      <c r="R31" s="91"/>
      <c r="S31" s="92"/>
      <c r="T31" s="91"/>
      <c r="U31" s="92"/>
      <c r="V31" s="95"/>
      <c r="W31" s="96"/>
      <c r="X31" s="91"/>
      <c r="Y31" s="92"/>
      <c r="Z31" s="98"/>
      <c r="AA31" s="99"/>
      <c r="AB31" s="91"/>
      <c r="AC31" s="92"/>
      <c r="AD31" s="91"/>
      <c r="AE31" s="92"/>
      <c r="AF31" s="91"/>
      <c r="AG31" s="92"/>
      <c r="AH31" s="91"/>
      <c r="AI31" s="92"/>
      <c r="AJ31" s="91"/>
      <c r="AK31" s="92"/>
      <c r="AL31" s="100"/>
      <c r="AM31" s="92"/>
      <c r="AN31" s="95"/>
      <c r="AO31" s="106"/>
      <c r="AP31" s="447"/>
      <c r="AQ31" s="732"/>
      <c r="AR31" s="111"/>
      <c r="AS31" s="112"/>
      <c r="AT31" s="95"/>
      <c r="AU31" s="96"/>
      <c r="AV31" s="113"/>
      <c r="AW31" s="124"/>
      <c r="AX31" s="111"/>
      <c r="AY31" s="898"/>
      <c r="AZ31" s="113"/>
      <c r="BA31" s="126"/>
    </row>
    <row r="32" spans="1:53" s="90" customFormat="1" ht="14.25" x14ac:dyDescent="0.3">
      <c r="A32" s="115" t="s">
        <v>49</v>
      </c>
      <c r="B32" s="121"/>
      <c r="C32" s="854"/>
      <c r="D32" s="91"/>
      <c r="E32" s="93"/>
      <c r="F32" s="123"/>
      <c r="G32" s="97"/>
      <c r="H32" s="123"/>
      <c r="I32" s="97"/>
      <c r="J32" s="123"/>
      <c r="K32" s="97"/>
      <c r="L32" s="123"/>
      <c r="M32" s="97"/>
      <c r="N32" s="123"/>
      <c r="O32" s="106"/>
      <c r="P32" s="91"/>
      <c r="Q32" s="93"/>
      <c r="R32" s="91"/>
      <c r="S32" s="92"/>
      <c r="T32" s="91"/>
      <c r="U32" s="92"/>
      <c r="V32" s="95"/>
      <c r="W32" s="96"/>
      <c r="X32" s="91"/>
      <c r="Y32" s="92"/>
      <c r="Z32" s="98"/>
      <c r="AA32" s="99"/>
      <c r="AB32" s="91"/>
      <c r="AC32" s="92"/>
      <c r="AD32" s="91"/>
      <c r="AE32" s="92"/>
      <c r="AF32" s="91"/>
      <c r="AG32" s="92"/>
      <c r="AH32" s="91"/>
      <c r="AI32" s="92"/>
      <c r="AJ32" s="91"/>
      <c r="AK32" s="92"/>
      <c r="AL32" s="100"/>
      <c r="AM32" s="92"/>
      <c r="AN32" s="95"/>
      <c r="AO32" s="106"/>
      <c r="AP32" s="447"/>
      <c r="AQ32" s="732"/>
      <c r="AR32" s="111"/>
      <c r="AS32" s="112"/>
      <c r="AT32" s="95"/>
      <c r="AU32" s="96"/>
      <c r="AV32" s="113"/>
      <c r="AW32" s="124"/>
      <c r="AX32" s="111"/>
      <c r="AY32" s="898"/>
      <c r="AZ32" s="113"/>
      <c r="BA32" s="126"/>
    </row>
    <row r="33" spans="1:58" s="90" customFormat="1" thickBot="1" x14ac:dyDescent="0.35">
      <c r="A33" s="163" t="s">
        <v>53</v>
      </c>
      <c r="B33" s="132"/>
      <c r="C33" s="889"/>
      <c r="D33" s="138"/>
      <c r="E33" s="137"/>
      <c r="F33" s="135"/>
      <c r="G33" s="134"/>
      <c r="H33" s="135"/>
      <c r="I33" s="134"/>
      <c r="J33" s="135"/>
      <c r="K33" s="134"/>
      <c r="L33" s="135"/>
      <c r="M33" s="134"/>
      <c r="N33" s="135"/>
      <c r="O33" s="140"/>
      <c r="P33" s="138"/>
      <c r="Q33" s="137"/>
      <c r="R33" s="138"/>
      <c r="S33" s="133"/>
      <c r="T33" s="138"/>
      <c r="U33" s="133"/>
      <c r="V33" s="139"/>
      <c r="W33" s="136"/>
      <c r="X33" s="138"/>
      <c r="Y33" s="133"/>
      <c r="Z33" s="141"/>
      <c r="AA33" s="142"/>
      <c r="AB33" s="138"/>
      <c r="AC33" s="133"/>
      <c r="AD33" s="138"/>
      <c r="AE33" s="133"/>
      <c r="AF33" s="138"/>
      <c r="AG33" s="133"/>
      <c r="AH33" s="138"/>
      <c r="AI33" s="133"/>
      <c r="AJ33" s="138"/>
      <c r="AK33" s="133"/>
      <c r="AL33" s="143"/>
      <c r="AM33" s="133"/>
      <c r="AN33" s="208"/>
      <c r="AO33" s="897"/>
      <c r="AP33" s="462"/>
      <c r="AQ33" s="733"/>
      <c r="AR33" s="145"/>
      <c r="AS33" s="146"/>
      <c r="AT33" s="139"/>
      <c r="AU33" s="136"/>
      <c r="AV33" s="147"/>
      <c r="AW33" s="148"/>
      <c r="AX33" s="145"/>
      <c r="AY33" s="899"/>
      <c r="AZ33" s="147"/>
      <c r="BA33" s="149"/>
    </row>
    <row r="34" spans="1:58" s="481" customFormat="1" thickBot="1" x14ac:dyDescent="0.35">
      <c r="A34" s="525" t="s">
        <v>54</v>
      </c>
      <c r="B34" s="528">
        <f>SUM(B6:B33)</f>
        <v>139655.24999999994</v>
      </c>
      <c r="C34" s="890">
        <f t="shared" ref="C34:AF34" si="7">SUM(C6:C33)</f>
        <v>131731</v>
      </c>
      <c r="D34" s="894">
        <f t="shared" si="7"/>
        <v>8137.1500000000024</v>
      </c>
      <c r="E34" s="521">
        <f t="shared" si="7"/>
        <v>6511</v>
      </c>
      <c r="F34" s="468">
        <f t="shared" si="7"/>
        <v>20843.110000000004</v>
      </c>
      <c r="G34" s="516">
        <f t="shared" si="7"/>
        <v>21529</v>
      </c>
      <c r="H34" s="468">
        <f t="shared" si="7"/>
        <v>158369.88</v>
      </c>
      <c r="I34" s="467">
        <f t="shared" si="7"/>
        <v>233992</v>
      </c>
      <c r="J34" s="468">
        <f t="shared" si="7"/>
        <v>16924.280000000002</v>
      </c>
      <c r="K34" s="516">
        <f t="shared" si="7"/>
        <v>16395</v>
      </c>
      <c r="L34" s="468">
        <f t="shared" si="7"/>
        <v>54911.389999999992</v>
      </c>
      <c r="M34" s="467">
        <f t="shared" si="7"/>
        <v>55331</v>
      </c>
      <c r="N34" s="468">
        <f t="shared" si="7"/>
        <v>9920</v>
      </c>
      <c r="O34" s="466">
        <f t="shared" si="7"/>
        <v>10428</v>
      </c>
      <c r="P34" s="465">
        <f t="shared" si="7"/>
        <v>5917.2299999999977</v>
      </c>
      <c r="Q34" s="467">
        <f t="shared" si="7"/>
        <v>8615</v>
      </c>
      <c r="R34" s="465">
        <f t="shared" si="7"/>
        <v>40399.379999999997</v>
      </c>
      <c r="S34" s="465">
        <f t="shared" si="7"/>
        <v>39975</v>
      </c>
      <c r="T34" s="465">
        <f t="shared" si="7"/>
        <v>8750.81</v>
      </c>
      <c r="U34" s="465">
        <f t="shared" si="7"/>
        <v>10191</v>
      </c>
      <c r="V34" s="465">
        <f t="shared" si="7"/>
        <v>570063.90999999992</v>
      </c>
      <c r="W34" s="465">
        <f t="shared" si="7"/>
        <v>668084</v>
      </c>
      <c r="X34" s="465">
        <f t="shared" si="7"/>
        <v>563233.27</v>
      </c>
      <c r="Y34" s="465">
        <f t="shared" si="7"/>
        <v>546721</v>
      </c>
      <c r="Z34" s="465">
        <f t="shared" si="7"/>
        <v>18688.940000000002</v>
      </c>
      <c r="AA34" s="465">
        <f t="shared" si="7"/>
        <v>22157</v>
      </c>
      <c r="AB34" s="465">
        <f t="shared" si="7"/>
        <v>58057.58</v>
      </c>
      <c r="AC34" s="465">
        <f t="shared" si="7"/>
        <v>78126.52</v>
      </c>
      <c r="AD34" s="465">
        <f t="shared" si="7"/>
        <v>109595.06999999998</v>
      </c>
      <c r="AE34" s="465">
        <f t="shared" si="7"/>
        <v>118335</v>
      </c>
      <c r="AF34" s="465">
        <f t="shared" si="7"/>
        <v>194395.91</v>
      </c>
      <c r="AG34" s="479">
        <f>SUM(AG6:AG33)</f>
        <v>198871</v>
      </c>
      <c r="AH34" s="465">
        <f t="shared" ref="AH34:AU34" si="8">SUM(AH6:AH33)</f>
        <v>57683.06</v>
      </c>
      <c r="AI34" s="465">
        <f t="shared" si="8"/>
        <v>57284</v>
      </c>
      <c r="AJ34" s="465">
        <f t="shared" si="8"/>
        <v>61248.39</v>
      </c>
      <c r="AK34" s="465">
        <f t="shared" si="8"/>
        <v>51534</v>
      </c>
      <c r="AL34" s="466">
        <f t="shared" si="8"/>
        <v>0</v>
      </c>
      <c r="AM34" s="466">
        <f t="shared" si="8"/>
        <v>0</v>
      </c>
      <c r="AN34" s="466">
        <f t="shared" si="8"/>
        <v>477404.78999999992</v>
      </c>
      <c r="AO34" s="466">
        <f t="shared" si="8"/>
        <v>515224</v>
      </c>
      <c r="AP34" s="466">
        <f t="shared" si="8"/>
        <v>13662.09</v>
      </c>
      <c r="AQ34" s="467">
        <f t="shared" si="8"/>
        <v>16224.57</v>
      </c>
      <c r="AR34" s="466">
        <f t="shared" si="8"/>
        <v>27718.339999999997</v>
      </c>
      <c r="AS34" s="466">
        <f t="shared" si="8"/>
        <v>27533</v>
      </c>
      <c r="AT34" s="466">
        <f t="shared" si="8"/>
        <v>84131.43</v>
      </c>
      <c r="AU34" s="466">
        <f t="shared" si="8"/>
        <v>98169</v>
      </c>
      <c r="AV34" s="470">
        <f>SUM(B34+D34+F34+H34+J34+L34+N34+P34+R34+T34+V34+X34+Z34+AB34+AD34+AF34+AH34+AJ34+AL34+AN34+AP34+AR34+AT34)</f>
        <v>2699711.26</v>
      </c>
      <c r="AW34" s="471">
        <f>SUM(C34+E34+G34+I34+K34+M34+O34+Q34+S34+U34+W34+Y34+AA34+AC34+AE34+AG34+AI34+AK34+AM34+AO34+AQ34+AS34+AU34)</f>
        <v>2932961.09</v>
      </c>
      <c r="AX34" s="511">
        <f>SUM(AX6:AX33)</f>
        <v>6445418.0699999994</v>
      </c>
      <c r="AY34" s="900">
        <f>SUM(AY6:AY33)</f>
        <v>6805146.9299999997</v>
      </c>
      <c r="AZ34" s="470">
        <f>AV34+AX34</f>
        <v>9145129.3299999982</v>
      </c>
      <c r="BA34" s="480">
        <f>AW34+AY34</f>
        <v>9738108.0199999996</v>
      </c>
    </row>
    <row r="35" spans="1:58" s="90" customFormat="1" thickBot="1" x14ac:dyDescent="0.35">
      <c r="A35" s="526" t="s">
        <v>55</v>
      </c>
      <c r="B35" s="522"/>
      <c r="C35" s="891"/>
      <c r="D35" s="522"/>
      <c r="E35" s="529"/>
      <c r="F35" s="518"/>
      <c r="G35" s="517"/>
      <c r="H35" s="154"/>
      <c r="I35" s="153"/>
      <c r="J35" s="518"/>
      <c r="K35" s="517"/>
      <c r="L35" s="154"/>
      <c r="M35" s="153"/>
      <c r="N35" s="154"/>
      <c r="O35" s="154"/>
      <c r="P35" s="150"/>
      <c r="Q35" s="152"/>
      <c r="R35" s="150"/>
      <c r="S35" s="151"/>
      <c r="T35" s="150"/>
      <c r="U35" s="151"/>
      <c r="V35" s="155"/>
      <c r="W35" s="154"/>
      <c r="X35" s="150"/>
      <c r="Y35" s="151"/>
      <c r="Z35" s="150"/>
      <c r="AA35" s="151"/>
      <c r="AB35" s="150"/>
      <c r="AC35" s="151"/>
      <c r="AD35" s="150"/>
      <c r="AE35" s="151"/>
      <c r="AF35" s="150"/>
      <c r="AG35" s="151"/>
      <c r="AH35" s="150"/>
      <c r="AI35" s="151"/>
      <c r="AJ35" s="150"/>
      <c r="AK35" s="151"/>
      <c r="AL35" s="209"/>
      <c r="AM35" s="210"/>
      <c r="AN35" s="154"/>
      <c r="AO35" s="154"/>
      <c r="AP35" s="155"/>
      <c r="AQ35" s="153"/>
      <c r="AR35" s="155"/>
      <c r="AS35" s="154"/>
      <c r="AT35" s="155"/>
      <c r="AU35" s="154"/>
      <c r="AV35" s="156"/>
      <c r="AW35" s="157"/>
      <c r="AX35" s="513"/>
      <c r="AY35" s="901"/>
      <c r="AZ35" s="156"/>
      <c r="BA35" s="158"/>
    </row>
    <row r="36" spans="1:58" s="90" customFormat="1" thickBot="1" x14ac:dyDescent="0.35">
      <c r="A36" s="526" t="s">
        <v>56</v>
      </c>
      <c r="B36" s="523">
        <f>B34</f>
        <v>139655.24999999994</v>
      </c>
      <c r="C36" s="892">
        <f t="shared" ref="C36:AI36" si="9">C34</f>
        <v>131731</v>
      </c>
      <c r="D36" s="523">
        <f t="shared" si="9"/>
        <v>8137.1500000000024</v>
      </c>
      <c r="E36" s="530">
        <f t="shared" si="9"/>
        <v>6511</v>
      </c>
      <c r="F36" s="519">
        <f t="shared" si="9"/>
        <v>20843.110000000004</v>
      </c>
      <c r="G36" s="512">
        <f t="shared" si="9"/>
        <v>21529</v>
      </c>
      <c r="H36" s="154">
        <f t="shared" si="9"/>
        <v>158369.88</v>
      </c>
      <c r="I36" s="153">
        <f t="shared" si="9"/>
        <v>233992</v>
      </c>
      <c r="J36" s="519">
        <f t="shared" si="9"/>
        <v>16924.280000000002</v>
      </c>
      <c r="K36" s="512">
        <f t="shared" si="9"/>
        <v>16395</v>
      </c>
      <c r="L36" s="154">
        <f t="shared" si="9"/>
        <v>54911.389999999992</v>
      </c>
      <c r="M36" s="153">
        <f t="shared" si="9"/>
        <v>55331</v>
      </c>
      <c r="N36" s="154">
        <f t="shared" si="9"/>
        <v>9920</v>
      </c>
      <c r="O36" s="154">
        <f t="shared" si="9"/>
        <v>10428</v>
      </c>
      <c r="P36" s="155">
        <f t="shared" si="9"/>
        <v>5917.2299999999977</v>
      </c>
      <c r="Q36" s="153">
        <f t="shared" si="9"/>
        <v>8615</v>
      </c>
      <c r="R36" s="155">
        <f t="shared" si="9"/>
        <v>40399.379999999997</v>
      </c>
      <c r="S36" s="154">
        <f t="shared" si="9"/>
        <v>39975</v>
      </c>
      <c r="T36" s="155">
        <f t="shared" si="9"/>
        <v>8750.81</v>
      </c>
      <c r="U36" s="154">
        <f t="shared" si="9"/>
        <v>10191</v>
      </c>
      <c r="V36" s="155">
        <f t="shared" si="9"/>
        <v>570063.90999999992</v>
      </c>
      <c r="W36" s="154">
        <f t="shared" si="9"/>
        <v>668084</v>
      </c>
      <c r="X36" s="155"/>
      <c r="Y36" s="154"/>
      <c r="Z36" s="155">
        <v>2023750</v>
      </c>
      <c r="AA36" s="154">
        <f t="shared" si="9"/>
        <v>22157</v>
      </c>
      <c r="AB36" s="155">
        <f t="shared" si="9"/>
        <v>58057.58</v>
      </c>
      <c r="AC36" s="154">
        <f t="shared" si="9"/>
        <v>78126.52</v>
      </c>
      <c r="AD36" s="155">
        <f t="shared" si="9"/>
        <v>109595.06999999998</v>
      </c>
      <c r="AE36" s="154">
        <f t="shared" si="9"/>
        <v>118335</v>
      </c>
      <c r="AF36" s="155">
        <f t="shared" si="9"/>
        <v>194395.91</v>
      </c>
      <c r="AG36" s="154">
        <f t="shared" si="9"/>
        <v>198871</v>
      </c>
      <c r="AH36" s="155">
        <f t="shared" si="9"/>
        <v>57683.06</v>
      </c>
      <c r="AI36" s="154">
        <f t="shared" si="9"/>
        <v>57284</v>
      </c>
      <c r="AJ36" s="155">
        <f>AJ34</f>
        <v>61248.39</v>
      </c>
      <c r="AK36" s="154">
        <f>AK34</f>
        <v>51534</v>
      </c>
      <c r="AL36" s="209"/>
      <c r="AM36" s="210"/>
      <c r="AN36" s="154">
        <f>AN34</f>
        <v>477404.78999999992</v>
      </c>
      <c r="AO36" s="154">
        <f>AO34</f>
        <v>515224</v>
      </c>
      <c r="AP36" s="155">
        <f t="shared" ref="AP36:AU36" si="10">AP34</f>
        <v>13662.09</v>
      </c>
      <c r="AQ36" s="153">
        <f t="shared" si="10"/>
        <v>16224.57</v>
      </c>
      <c r="AR36" s="155">
        <f t="shared" si="10"/>
        <v>27718.339999999997</v>
      </c>
      <c r="AS36" s="154">
        <f t="shared" si="10"/>
        <v>27533</v>
      </c>
      <c r="AT36" s="155">
        <f t="shared" si="10"/>
        <v>84131.43</v>
      </c>
      <c r="AU36" s="154">
        <f t="shared" si="10"/>
        <v>98169</v>
      </c>
      <c r="AV36" s="156">
        <f>SUM(B36+D36+F36+H36+J36+L36+N36+P36+R36+T36+V36+X36+Z36+AB36+AD36+AF36+AH36+AJ36+AL36+AN36+AP36+AR36+AT36)</f>
        <v>4141539.05</v>
      </c>
      <c r="AW36" s="157">
        <f>SUM(C36+E36+G36+I36+K36+M36+O36+Q36+S36+U36+W36+Y36+AA36+AC36+AE36+AG36+AI36+AK36+AM36+AO36+AQ36+AS36+AU36)</f>
        <v>2386240.09</v>
      </c>
      <c r="AX36" s="513">
        <v>6437119</v>
      </c>
      <c r="AY36" s="901">
        <v>6797205</v>
      </c>
      <c r="AZ36" s="156">
        <f>AV36+AX36</f>
        <v>10578658.050000001</v>
      </c>
      <c r="BA36" s="158">
        <f>AW36+AY36</f>
        <v>9183445.0899999999</v>
      </c>
    </row>
    <row r="37" spans="1:58" s="90" customFormat="1" thickBot="1" x14ac:dyDescent="0.35">
      <c r="A37" s="527" t="s">
        <v>57</v>
      </c>
      <c r="B37" s="522"/>
      <c r="C37" s="891"/>
      <c r="D37" s="522"/>
      <c r="E37" s="529"/>
      <c r="F37" s="518"/>
      <c r="G37" s="517"/>
      <c r="H37" s="107"/>
      <c r="I37" s="108"/>
      <c r="J37" s="518"/>
      <c r="K37" s="517"/>
      <c r="L37" s="107"/>
      <c r="M37" s="108"/>
      <c r="N37" s="107"/>
      <c r="O37" s="107"/>
      <c r="P37" s="127"/>
      <c r="Q37" s="159"/>
      <c r="R37" s="127"/>
      <c r="S37" s="128"/>
      <c r="T37" s="127"/>
      <c r="U37" s="128"/>
      <c r="V37" s="109"/>
      <c r="W37" s="107"/>
      <c r="X37" s="127"/>
      <c r="Y37" s="128"/>
      <c r="Z37" s="127"/>
      <c r="AA37" s="128"/>
      <c r="AB37" s="127"/>
      <c r="AC37" s="128"/>
      <c r="AD37" s="127"/>
      <c r="AE37" s="128"/>
      <c r="AF37" s="127"/>
      <c r="AG37" s="128"/>
      <c r="AH37" s="127"/>
      <c r="AI37" s="128"/>
      <c r="AJ37" s="127"/>
      <c r="AK37" s="128"/>
      <c r="AL37" s="344"/>
      <c r="AM37" s="345"/>
      <c r="AN37" s="107"/>
      <c r="AO37" s="107"/>
      <c r="AP37" s="109"/>
      <c r="AQ37" s="108"/>
      <c r="AR37" s="109"/>
      <c r="AS37" s="107"/>
      <c r="AT37" s="109"/>
      <c r="AU37" s="107"/>
      <c r="AV37" s="346"/>
      <c r="AW37" s="347"/>
      <c r="AX37" s="513">
        <v>8297</v>
      </c>
      <c r="AY37" s="901">
        <v>7945</v>
      </c>
      <c r="AZ37" s="346"/>
      <c r="BA37" s="348"/>
    </row>
    <row r="38" spans="1:58" s="481" customFormat="1" thickBot="1" x14ac:dyDescent="0.35">
      <c r="A38" s="525" t="s">
        <v>54</v>
      </c>
      <c r="B38" s="524">
        <f>B36</f>
        <v>139655.24999999994</v>
      </c>
      <c r="C38" s="893">
        <f t="shared" ref="C38:AH38" si="11">C36</f>
        <v>131731</v>
      </c>
      <c r="D38" s="524">
        <f t="shared" si="11"/>
        <v>8137.1500000000024</v>
      </c>
      <c r="E38" s="531">
        <f t="shared" si="11"/>
        <v>6511</v>
      </c>
      <c r="F38" s="520">
        <f t="shared" si="11"/>
        <v>20843.110000000004</v>
      </c>
      <c r="G38" s="515">
        <f t="shared" si="11"/>
        <v>21529</v>
      </c>
      <c r="H38" s="486">
        <f t="shared" si="11"/>
        <v>158369.88</v>
      </c>
      <c r="I38" s="485">
        <f t="shared" si="11"/>
        <v>233992</v>
      </c>
      <c r="J38" s="520">
        <f t="shared" si="11"/>
        <v>16924.280000000002</v>
      </c>
      <c r="K38" s="515">
        <f t="shared" si="11"/>
        <v>16395</v>
      </c>
      <c r="L38" s="486">
        <f t="shared" si="11"/>
        <v>54911.389999999992</v>
      </c>
      <c r="M38" s="485">
        <f t="shared" si="11"/>
        <v>55331</v>
      </c>
      <c r="N38" s="486">
        <f t="shared" si="11"/>
        <v>9920</v>
      </c>
      <c r="O38" s="486">
        <f t="shared" si="11"/>
        <v>10428</v>
      </c>
      <c r="P38" s="482">
        <f t="shared" si="11"/>
        <v>5917.2299999999977</v>
      </c>
      <c r="Q38" s="484">
        <f t="shared" si="11"/>
        <v>8615</v>
      </c>
      <c r="R38" s="482">
        <f t="shared" si="11"/>
        <v>40399.379999999997</v>
      </c>
      <c r="S38" s="483">
        <f t="shared" si="11"/>
        <v>39975</v>
      </c>
      <c r="T38" s="482">
        <f t="shared" si="11"/>
        <v>8750.81</v>
      </c>
      <c r="U38" s="483">
        <f t="shared" si="11"/>
        <v>10191</v>
      </c>
      <c r="V38" s="487">
        <f t="shared" si="11"/>
        <v>570063.90999999992</v>
      </c>
      <c r="W38" s="486">
        <f t="shared" si="11"/>
        <v>668084</v>
      </c>
      <c r="X38" s="482"/>
      <c r="Y38" s="483"/>
      <c r="Z38" s="482">
        <f t="shared" si="11"/>
        <v>2023750</v>
      </c>
      <c r="AA38" s="483">
        <f t="shared" si="11"/>
        <v>22157</v>
      </c>
      <c r="AB38" s="482">
        <f t="shared" si="11"/>
        <v>58057.58</v>
      </c>
      <c r="AC38" s="483">
        <f t="shared" si="11"/>
        <v>78126.52</v>
      </c>
      <c r="AD38" s="482">
        <f t="shared" si="11"/>
        <v>109595.06999999998</v>
      </c>
      <c r="AE38" s="483">
        <f t="shared" si="11"/>
        <v>118335</v>
      </c>
      <c r="AF38" s="482">
        <f t="shared" si="11"/>
        <v>194395.91</v>
      </c>
      <c r="AG38" s="483">
        <f t="shared" si="11"/>
        <v>198871</v>
      </c>
      <c r="AH38" s="482">
        <f t="shared" si="11"/>
        <v>57683.06</v>
      </c>
      <c r="AI38" s="483">
        <f t="shared" ref="AI38:AU38" si="12">AI36</f>
        <v>57284</v>
      </c>
      <c r="AJ38" s="482">
        <f t="shared" si="12"/>
        <v>61248.39</v>
      </c>
      <c r="AK38" s="483">
        <f t="shared" si="12"/>
        <v>51534</v>
      </c>
      <c r="AL38" s="488">
        <f t="shared" si="12"/>
        <v>0</v>
      </c>
      <c r="AM38" s="489">
        <f t="shared" si="12"/>
        <v>0</v>
      </c>
      <c r="AN38" s="486">
        <f t="shared" si="12"/>
        <v>477404.78999999992</v>
      </c>
      <c r="AO38" s="486">
        <f t="shared" si="12"/>
        <v>515224</v>
      </c>
      <c r="AP38" s="487">
        <f t="shared" si="12"/>
        <v>13662.09</v>
      </c>
      <c r="AQ38" s="485">
        <f t="shared" si="12"/>
        <v>16224.57</v>
      </c>
      <c r="AR38" s="487">
        <f t="shared" si="12"/>
        <v>27718.339999999997</v>
      </c>
      <c r="AS38" s="486">
        <f t="shared" si="12"/>
        <v>27533</v>
      </c>
      <c r="AT38" s="487">
        <f t="shared" si="12"/>
        <v>84131.43</v>
      </c>
      <c r="AU38" s="486">
        <f t="shared" si="12"/>
        <v>98169</v>
      </c>
      <c r="AV38" s="470">
        <f>SUM(B38+D38+F38+H38+J38+L38+N38+P38+R38+T38+V38+X38+Z38+AB38+AD38+AF38+AH38+AJ38+AL38+AN38+AP38+AR38+AT38)</f>
        <v>4141539.05</v>
      </c>
      <c r="AW38" s="471">
        <f>SUM(C38+E38+G38+I38+K38+M38+O38+Q38+S38+U38+W38+Y38+AA38+AC38+AE38+AG38+AI38+AK38+AM38+AO38+AQ38+AS38+AU38)</f>
        <v>2386240.09</v>
      </c>
      <c r="AX38" s="514">
        <f>AX34</f>
        <v>6445418.0699999994</v>
      </c>
      <c r="AY38" s="902">
        <f>AY34</f>
        <v>6805146.9299999997</v>
      </c>
      <c r="AZ38" s="470">
        <f>AV38+AX38</f>
        <v>10586957.119999999</v>
      </c>
      <c r="BA38" s="480">
        <f>AW38+AY38</f>
        <v>9191387.0199999996</v>
      </c>
      <c r="BE38" s="477"/>
      <c r="BF38" s="477"/>
    </row>
    <row r="39" spans="1:58" s="90" customFormat="1" ht="14.25" x14ac:dyDescent="0.3">
      <c r="A39" s="74"/>
      <c r="V39" s="160"/>
      <c r="W39" s="160"/>
      <c r="AP39" s="160"/>
      <c r="AQ39" s="160"/>
      <c r="AR39" s="160"/>
      <c r="AS39" s="160"/>
      <c r="AT39" s="160"/>
      <c r="AU39" s="160"/>
      <c r="AV39" s="160"/>
      <c r="AW39" s="160"/>
      <c r="AX39" s="160"/>
      <c r="AY39" s="160"/>
      <c r="AZ39" s="160"/>
      <c r="BA39" s="160"/>
    </row>
  </sheetData>
  <mergeCells count="29">
    <mergeCell ref="N3:O3"/>
    <mergeCell ref="A1:BA1"/>
    <mergeCell ref="A2:BA2"/>
    <mergeCell ref="A3:A4"/>
    <mergeCell ref="D3:E3"/>
    <mergeCell ref="F3:G3"/>
    <mergeCell ref="H3:I3"/>
    <mergeCell ref="B3:C3"/>
    <mergeCell ref="J3:K3"/>
    <mergeCell ref="L3:M3"/>
    <mergeCell ref="AZ3:BA3"/>
    <mergeCell ref="AX3:AY3"/>
    <mergeCell ref="AV3:AW3"/>
    <mergeCell ref="AT3:AU3"/>
    <mergeCell ref="AR3:AS3"/>
    <mergeCell ref="P3:Q3"/>
    <mergeCell ref="R3:S3"/>
    <mergeCell ref="T3:U3"/>
    <mergeCell ref="V3:W3"/>
    <mergeCell ref="X3:Y3"/>
    <mergeCell ref="Z3:AA3"/>
    <mergeCell ref="AB3:AC3"/>
    <mergeCell ref="AP3:AQ3"/>
    <mergeCell ref="AN3:AO3"/>
    <mergeCell ref="AL3:AM3"/>
    <mergeCell ref="AD3:AE3"/>
    <mergeCell ref="AJ3:AK3"/>
    <mergeCell ref="AH3:AI3"/>
    <mergeCell ref="AF3:AG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BA14"/>
  <sheetViews>
    <sheetView workbookViewId="0">
      <pane xSplit="1" topLeftCell="B1" activePane="topRight" state="frozen"/>
      <selection pane="topRight" activeCell="A14" sqref="A14:IV14"/>
    </sheetView>
  </sheetViews>
  <sheetFormatPr defaultRowHeight="16.5" x14ac:dyDescent="0.3"/>
  <cols>
    <col min="1" max="1" width="45.42578125" style="86" bestFit="1" customWidth="1"/>
    <col min="2" max="3" width="10.42578125" style="86" bestFit="1" customWidth="1"/>
    <col min="4" max="5" width="10.42578125" style="86" customWidth="1"/>
    <col min="6" max="7" width="10.42578125" style="86" bestFit="1" customWidth="1"/>
    <col min="8" max="9" width="11.5703125" style="86" bestFit="1" customWidth="1"/>
    <col min="10" max="15" width="10.42578125" style="86" bestFit="1" customWidth="1"/>
    <col min="16" max="16" width="11.5703125" style="86" bestFit="1" customWidth="1"/>
    <col min="17" max="17" width="11.5703125" style="86" customWidth="1"/>
    <col min="18" max="21" width="10.42578125" style="86" bestFit="1" customWidth="1"/>
    <col min="22" max="22" width="11.5703125" style="86" bestFit="1" customWidth="1"/>
    <col min="23" max="23" width="11.5703125" style="86" customWidth="1"/>
    <col min="24" max="24" width="11.5703125" style="86" bestFit="1" customWidth="1"/>
    <col min="25" max="25" width="11.5703125" style="86" customWidth="1"/>
    <col min="26" max="29" width="10.42578125" style="86" bestFit="1" customWidth="1"/>
    <col min="30" max="30" width="11.5703125" style="86" bestFit="1" customWidth="1"/>
    <col min="31" max="31" width="11.5703125" style="86" customWidth="1"/>
    <col min="32" max="39" width="10.42578125" style="86" bestFit="1" customWidth="1"/>
    <col min="40" max="40" width="11.5703125" style="86" bestFit="1" customWidth="1"/>
    <col min="41" max="41" width="11.5703125" style="86" customWidth="1"/>
    <col min="42" max="47" width="10.42578125" style="86" bestFit="1" customWidth="1"/>
    <col min="48" max="49" width="12.85546875" style="86" bestFit="1" customWidth="1"/>
    <col min="50" max="50" width="11.5703125" style="86" bestFit="1" customWidth="1"/>
    <col min="51" max="51" width="10.42578125" style="86" bestFit="1" customWidth="1"/>
    <col min="52" max="52" width="12.85546875" style="51" bestFit="1" customWidth="1"/>
    <col min="53" max="53" width="12.85546875" style="86" bestFit="1" customWidth="1"/>
    <col min="54" max="16384" width="9.140625" style="86"/>
  </cols>
  <sheetData>
    <row r="1" spans="1:53" s="403" customFormat="1" ht="17.25" thickBot="1" x14ac:dyDescent="0.4">
      <c r="A1" s="1356" t="s">
        <v>414</v>
      </c>
      <c r="B1" s="1356"/>
      <c r="C1" s="1356"/>
      <c r="D1" s="1356"/>
      <c r="E1" s="1356"/>
      <c r="F1" s="1356"/>
      <c r="G1" s="1356"/>
      <c r="H1" s="1356"/>
      <c r="I1" s="1356"/>
      <c r="J1" s="1356"/>
      <c r="K1" s="1356"/>
      <c r="L1" s="1356"/>
      <c r="M1" s="1356"/>
      <c r="N1" s="1356"/>
      <c r="O1" s="1356"/>
      <c r="P1" s="1356"/>
      <c r="Q1" s="1356"/>
      <c r="R1" s="1356"/>
      <c r="S1" s="1356"/>
      <c r="T1" s="1356"/>
      <c r="U1" s="1356"/>
      <c r="V1" s="1356"/>
      <c r="W1" s="1356"/>
      <c r="X1" s="1356"/>
      <c r="Y1" s="1356"/>
      <c r="Z1" s="1356"/>
      <c r="AA1" s="1356"/>
      <c r="AB1" s="1356"/>
      <c r="AC1" s="1356"/>
      <c r="AD1" s="1356"/>
      <c r="AE1" s="1356"/>
      <c r="AF1" s="1356"/>
      <c r="AG1" s="1356"/>
      <c r="AH1" s="1356"/>
      <c r="AI1" s="1356"/>
      <c r="AJ1" s="1356"/>
      <c r="AK1" s="1356"/>
      <c r="AL1" s="1356"/>
      <c r="AM1" s="1356"/>
      <c r="AN1" s="1356"/>
      <c r="AO1" s="1356"/>
      <c r="AP1" s="1356"/>
      <c r="AQ1" s="1356"/>
      <c r="AR1" s="1356"/>
      <c r="AS1" s="1356"/>
      <c r="AT1" s="1356"/>
      <c r="AU1" s="1356"/>
      <c r="AV1" s="1356"/>
      <c r="AW1" s="1356"/>
      <c r="AX1" s="1356"/>
      <c r="AY1" s="1356"/>
      <c r="AZ1" s="1356"/>
    </row>
    <row r="2" spans="1:53" ht="69" customHeight="1" thickBot="1" x14ac:dyDescent="0.35">
      <c r="A2" s="1355" t="s">
        <v>0</v>
      </c>
      <c r="B2" s="1300" t="s">
        <v>159</v>
      </c>
      <c r="C2" s="1301"/>
      <c r="D2" s="1295" t="s">
        <v>160</v>
      </c>
      <c r="E2" s="1296"/>
      <c r="F2" s="1295" t="s">
        <v>161</v>
      </c>
      <c r="G2" s="1296"/>
      <c r="H2" s="1295" t="s">
        <v>162</v>
      </c>
      <c r="I2" s="1296"/>
      <c r="J2" s="1352" t="s">
        <v>163</v>
      </c>
      <c r="K2" s="1353"/>
      <c r="L2" s="1352" t="s">
        <v>164</v>
      </c>
      <c r="M2" s="1353"/>
      <c r="N2" s="1295" t="s">
        <v>315</v>
      </c>
      <c r="O2" s="1296"/>
      <c r="P2" s="1295" t="s">
        <v>165</v>
      </c>
      <c r="Q2" s="1296"/>
      <c r="R2" s="1295" t="s">
        <v>166</v>
      </c>
      <c r="S2" s="1296"/>
      <c r="T2" s="1354" t="s">
        <v>167</v>
      </c>
      <c r="U2" s="1353"/>
      <c r="V2" s="1295" t="s">
        <v>168</v>
      </c>
      <c r="W2" s="1296"/>
      <c r="X2" s="1295" t="s">
        <v>169</v>
      </c>
      <c r="Y2" s="1296"/>
      <c r="Z2" s="1295" t="s">
        <v>325</v>
      </c>
      <c r="AA2" s="1296"/>
      <c r="AB2" s="1295" t="s">
        <v>170</v>
      </c>
      <c r="AC2" s="1296"/>
      <c r="AD2" s="1295" t="s">
        <v>171</v>
      </c>
      <c r="AE2" s="1296"/>
      <c r="AF2" s="1295" t="s">
        <v>172</v>
      </c>
      <c r="AG2" s="1296"/>
      <c r="AH2" s="1295" t="s">
        <v>173</v>
      </c>
      <c r="AI2" s="1296"/>
      <c r="AJ2" s="1295" t="s">
        <v>174</v>
      </c>
      <c r="AK2" s="1296"/>
      <c r="AL2" s="1295" t="s">
        <v>175</v>
      </c>
      <c r="AM2" s="1296"/>
      <c r="AN2" s="1295" t="s">
        <v>176</v>
      </c>
      <c r="AO2" s="1296"/>
      <c r="AP2" s="1295" t="s">
        <v>177</v>
      </c>
      <c r="AQ2" s="1296"/>
      <c r="AR2" s="1295" t="s">
        <v>178</v>
      </c>
      <c r="AS2" s="1296"/>
      <c r="AT2" s="1295" t="s">
        <v>179</v>
      </c>
      <c r="AU2" s="1296"/>
      <c r="AV2" s="1295" t="s">
        <v>1</v>
      </c>
      <c r="AW2" s="1296"/>
      <c r="AX2" s="1295" t="s">
        <v>180</v>
      </c>
      <c r="AY2" s="1296"/>
      <c r="AZ2" s="1357" t="s">
        <v>2</v>
      </c>
      <c r="BA2" s="1358"/>
    </row>
    <row r="3" spans="1:53" s="443" customFormat="1" ht="36.75" customHeight="1" thickBot="1" x14ac:dyDescent="0.35">
      <c r="A3" s="1355"/>
      <c r="B3" s="532" t="s">
        <v>323</v>
      </c>
      <c r="C3" s="532" t="s">
        <v>388</v>
      </c>
      <c r="D3" s="532" t="s">
        <v>323</v>
      </c>
      <c r="E3" s="532" t="s">
        <v>388</v>
      </c>
      <c r="F3" s="532" t="s">
        <v>323</v>
      </c>
      <c r="G3" s="532" t="s">
        <v>388</v>
      </c>
      <c r="H3" s="532" t="s">
        <v>323</v>
      </c>
      <c r="I3" s="532" t="s">
        <v>388</v>
      </c>
      <c r="J3" s="532" t="s">
        <v>323</v>
      </c>
      <c r="K3" s="532" t="s">
        <v>388</v>
      </c>
      <c r="L3" s="532" t="s">
        <v>323</v>
      </c>
      <c r="M3" s="532" t="s">
        <v>388</v>
      </c>
      <c r="N3" s="532" t="s">
        <v>323</v>
      </c>
      <c r="O3" s="532" t="s">
        <v>388</v>
      </c>
      <c r="P3" s="532" t="s">
        <v>323</v>
      </c>
      <c r="Q3" s="532" t="s">
        <v>388</v>
      </c>
      <c r="R3" s="532" t="s">
        <v>323</v>
      </c>
      <c r="S3" s="532" t="s">
        <v>388</v>
      </c>
      <c r="T3" s="532" t="s">
        <v>323</v>
      </c>
      <c r="U3" s="532" t="s">
        <v>388</v>
      </c>
      <c r="V3" s="532" t="s">
        <v>323</v>
      </c>
      <c r="W3" s="532" t="s">
        <v>388</v>
      </c>
      <c r="X3" s="532" t="s">
        <v>323</v>
      </c>
      <c r="Y3" s="532" t="s">
        <v>388</v>
      </c>
      <c r="Z3" s="532" t="s">
        <v>323</v>
      </c>
      <c r="AA3" s="532" t="s">
        <v>388</v>
      </c>
      <c r="AB3" s="532" t="s">
        <v>323</v>
      </c>
      <c r="AC3" s="532" t="s">
        <v>388</v>
      </c>
      <c r="AD3" s="532" t="s">
        <v>323</v>
      </c>
      <c r="AE3" s="532" t="s">
        <v>388</v>
      </c>
      <c r="AF3" s="532" t="s">
        <v>323</v>
      </c>
      <c r="AG3" s="532" t="s">
        <v>388</v>
      </c>
      <c r="AH3" s="532" t="s">
        <v>323</v>
      </c>
      <c r="AI3" s="532" t="s">
        <v>388</v>
      </c>
      <c r="AJ3" s="532" t="s">
        <v>323</v>
      </c>
      <c r="AK3" s="532" t="s">
        <v>388</v>
      </c>
      <c r="AL3" s="532" t="s">
        <v>323</v>
      </c>
      <c r="AM3" s="532" t="s">
        <v>388</v>
      </c>
      <c r="AN3" s="532" t="s">
        <v>323</v>
      </c>
      <c r="AO3" s="532" t="s">
        <v>388</v>
      </c>
      <c r="AP3" s="532" t="s">
        <v>323</v>
      </c>
      <c r="AQ3" s="532" t="s">
        <v>388</v>
      </c>
      <c r="AR3" s="532" t="s">
        <v>323</v>
      </c>
      <c r="AS3" s="532" t="s">
        <v>388</v>
      </c>
      <c r="AT3" s="532" t="s">
        <v>323</v>
      </c>
      <c r="AU3" s="532" t="s">
        <v>388</v>
      </c>
      <c r="AV3" s="532" t="s">
        <v>323</v>
      </c>
      <c r="AW3" s="532" t="s">
        <v>388</v>
      </c>
      <c r="AX3" s="532" t="s">
        <v>323</v>
      </c>
      <c r="AY3" s="532" t="s">
        <v>388</v>
      </c>
      <c r="AZ3" s="532" t="s">
        <v>323</v>
      </c>
      <c r="BA3" s="532" t="s">
        <v>388</v>
      </c>
    </row>
    <row r="4" spans="1:53" x14ac:dyDescent="0.3">
      <c r="A4" s="679" t="s">
        <v>233</v>
      </c>
      <c r="B4" s="677"/>
      <c r="C4" s="678"/>
      <c r="D4" s="674"/>
      <c r="E4" s="674"/>
      <c r="F4" s="674"/>
      <c r="G4" s="674"/>
      <c r="H4" s="674"/>
      <c r="I4" s="674"/>
      <c r="J4" s="674"/>
      <c r="K4" s="674"/>
      <c r="L4" s="674"/>
      <c r="M4" s="674"/>
      <c r="N4" s="674"/>
      <c r="O4" s="674"/>
      <c r="P4" s="666"/>
      <c r="Q4" s="666"/>
      <c r="R4" s="665"/>
      <c r="S4" s="667"/>
      <c r="T4" s="677"/>
      <c r="U4" s="678">
        <v>0</v>
      </c>
      <c r="V4" s="666"/>
      <c r="W4" s="666"/>
      <c r="X4" s="666"/>
      <c r="Y4" s="666"/>
      <c r="Z4" s="666"/>
      <c r="AA4" s="666"/>
      <c r="AB4" s="666"/>
      <c r="AC4" s="666"/>
      <c r="AD4" s="666"/>
      <c r="AE4" s="666"/>
      <c r="AF4" s="666"/>
      <c r="AG4" s="666"/>
      <c r="AH4" s="666"/>
      <c r="AI4" s="666"/>
      <c r="AJ4" s="666"/>
      <c r="AK4" s="666"/>
      <c r="AL4" s="666"/>
      <c r="AM4" s="666"/>
      <c r="AN4" s="666"/>
      <c r="AO4" s="666"/>
      <c r="AP4" s="666"/>
      <c r="AQ4" s="666"/>
      <c r="AR4" s="666"/>
      <c r="AS4" s="666"/>
      <c r="AT4" s="666"/>
      <c r="AU4" s="667"/>
      <c r="AV4" s="682">
        <f>SUM(B4+D4+F4+H4+J4+L4+N4+P4+R4+T4+V4+X4+Z4+AB4+AD4+AF4+AH4+AJ4+AL4+AN4+AP4+AR4+AT4)</f>
        <v>0</v>
      </c>
      <c r="AW4" s="683">
        <f>SUM(C4+E4+G4+I4+K4+M4+O4+Q4+S4+U4+W4+Y4+AA4+AC4+AE4+AG4+AI4+AK4+AM4+AO4+AQ4+AS4+AU4)</f>
        <v>0</v>
      </c>
      <c r="AX4" s="666"/>
      <c r="AY4" s="667"/>
      <c r="AZ4" s="682">
        <f>AV4+AX4</f>
        <v>0</v>
      </c>
      <c r="BA4" s="683">
        <f>AW4+AY4</f>
        <v>0</v>
      </c>
    </row>
    <row r="5" spans="1:53" x14ac:dyDescent="0.3">
      <c r="A5" s="497" t="s">
        <v>234</v>
      </c>
      <c r="B5" s="675">
        <v>6829.2</v>
      </c>
      <c r="C5" s="676">
        <v>6829</v>
      </c>
      <c r="D5" s="663"/>
      <c r="E5" s="663"/>
      <c r="F5" s="663"/>
      <c r="G5" s="663"/>
      <c r="H5" s="663"/>
      <c r="I5" s="663"/>
      <c r="J5" s="663"/>
      <c r="K5" s="663"/>
      <c r="L5" s="663"/>
      <c r="M5" s="663"/>
      <c r="N5" s="663"/>
      <c r="O5" s="663"/>
      <c r="P5" s="663"/>
      <c r="Q5" s="663"/>
      <c r="R5" s="664"/>
      <c r="S5" s="668"/>
      <c r="T5" s="675"/>
      <c r="U5" s="676"/>
      <c r="V5" s="663"/>
      <c r="W5" s="663"/>
      <c r="X5" s="663"/>
      <c r="Y5" s="663"/>
      <c r="Z5" s="663"/>
      <c r="AA5" s="663"/>
      <c r="AB5" s="663"/>
      <c r="AC5" s="663"/>
      <c r="AD5" s="663"/>
      <c r="AE5" s="663"/>
      <c r="AF5" s="663">
        <v>2588</v>
      </c>
      <c r="AG5" s="663">
        <v>2588</v>
      </c>
      <c r="AH5" s="663"/>
      <c r="AI5" s="663"/>
      <c r="AJ5" s="663"/>
      <c r="AK5" s="663"/>
      <c r="AL5" s="663"/>
      <c r="AM5" s="663"/>
      <c r="AN5" s="663"/>
      <c r="AO5" s="663"/>
      <c r="AP5" s="663"/>
      <c r="AQ5" s="663"/>
      <c r="AR5" s="663"/>
      <c r="AS5" s="663"/>
      <c r="AT5" s="663"/>
      <c r="AU5" s="668"/>
      <c r="AV5" s="675">
        <f t="shared" ref="AV5:AV14" si="0">SUM(B5+D5+F5+H5+J5+L5+N5+P5+R5+T5+V5+X5+Z5+AB5+AD5+AF5+AH5+AJ5+AL5+AN5+AP5+AR5+AT5)</f>
        <v>9417.2000000000007</v>
      </c>
      <c r="AW5" s="676">
        <f t="shared" ref="AW5:AW14" si="1">SUM(C5+E5+G5+I5+K5+M5+O5+Q5+S5+U5+W5+Y5+AA5+AC5+AE5+AG5+AI5+AK5+AM5+AO5+AQ5+AS5+AU5)</f>
        <v>9417</v>
      </c>
      <c r="AX5" s="663"/>
      <c r="AY5" s="668"/>
      <c r="AZ5" s="675">
        <f t="shared" ref="AZ5:AZ14" si="2">AV5+AX5</f>
        <v>9417.2000000000007</v>
      </c>
      <c r="BA5" s="676">
        <f t="shared" ref="BA5:BA14" si="3">AW5+AY5</f>
        <v>9417</v>
      </c>
    </row>
    <row r="6" spans="1:53" x14ac:dyDescent="0.3">
      <c r="A6" s="497" t="s">
        <v>235</v>
      </c>
      <c r="B6" s="675">
        <v>20000</v>
      </c>
      <c r="C6" s="676">
        <v>20000</v>
      </c>
      <c r="D6" s="669">
        <v>98527.05</v>
      </c>
      <c r="E6" s="669">
        <v>135593</v>
      </c>
      <c r="F6" s="663"/>
      <c r="G6" s="663"/>
      <c r="H6" s="663">
        <v>105995.5</v>
      </c>
      <c r="I6" s="663">
        <v>105996</v>
      </c>
      <c r="J6" s="663">
        <v>20744</v>
      </c>
      <c r="K6" s="663">
        <v>20744</v>
      </c>
      <c r="L6" s="663">
        <v>12500</v>
      </c>
      <c r="M6" s="663">
        <v>12500</v>
      </c>
      <c r="N6" s="663">
        <v>83292</v>
      </c>
      <c r="O6" s="663">
        <v>83292</v>
      </c>
      <c r="P6" s="663">
        <v>168484.78</v>
      </c>
      <c r="Q6" s="663">
        <v>171192</v>
      </c>
      <c r="R6" s="664"/>
      <c r="S6" s="668"/>
      <c r="T6" s="675">
        <v>10000</v>
      </c>
      <c r="U6" s="676">
        <v>10000</v>
      </c>
      <c r="V6" s="663">
        <v>52274.73</v>
      </c>
      <c r="W6" s="663">
        <v>657800</v>
      </c>
      <c r="X6" s="663">
        <v>345559.55</v>
      </c>
      <c r="Y6" s="663">
        <v>348919</v>
      </c>
      <c r="Z6" s="663"/>
      <c r="AA6" s="663"/>
      <c r="AB6" s="663">
        <v>27000</v>
      </c>
      <c r="AC6" s="663">
        <v>27000</v>
      </c>
      <c r="AD6" s="663">
        <v>5203.63</v>
      </c>
      <c r="AE6" s="663">
        <v>5204</v>
      </c>
      <c r="AF6" s="663">
        <v>6809</v>
      </c>
      <c r="AG6" s="663">
        <v>6617</v>
      </c>
      <c r="AH6" s="663"/>
      <c r="AI6" s="663"/>
      <c r="AJ6" s="663">
        <v>30316</v>
      </c>
      <c r="AK6" s="663">
        <v>30316</v>
      </c>
      <c r="AL6" s="663"/>
      <c r="AM6" s="663">
        <v>2954</v>
      </c>
      <c r="AN6" s="663">
        <v>837.31</v>
      </c>
      <c r="AO6" s="663"/>
      <c r="AP6" s="663">
        <v>211</v>
      </c>
      <c r="AQ6" s="663">
        <v>371</v>
      </c>
      <c r="AR6" s="663">
        <v>26860.560000000001</v>
      </c>
      <c r="AS6" s="663">
        <v>26861</v>
      </c>
      <c r="AT6" s="663"/>
      <c r="AU6" s="668"/>
      <c r="AV6" s="675">
        <f t="shared" si="0"/>
        <v>1014615.11</v>
      </c>
      <c r="AW6" s="676">
        <f t="shared" si="1"/>
        <v>1665359</v>
      </c>
      <c r="AX6" s="663"/>
      <c r="AY6" s="668"/>
      <c r="AZ6" s="675">
        <f t="shared" si="2"/>
        <v>1014615.11</v>
      </c>
      <c r="BA6" s="676">
        <f t="shared" si="3"/>
        <v>1665359</v>
      </c>
    </row>
    <row r="7" spans="1:53" x14ac:dyDescent="0.3">
      <c r="A7" s="497" t="s">
        <v>236</v>
      </c>
      <c r="B7" s="675"/>
      <c r="C7" s="676"/>
      <c r="D7" s="669"/>
      <c r="E7" s="669"/>
      <c r="F7" s="663"/>
      <c r="G7" s="663"/>
      <c r="H7" s="663">
        <v>5437.75</v>
      </c>
      <c r="I7" s="663">
        <v>5263</v>
      </c>
      <c r="J7" s="663">
        <v>927</v>
      </c>
      <c r="K7" s="663">
        <v>454</v>
      </c>
      <c r="L7" s="663"/>
      <c r="M7" s="663"/>
      <c r="N7" s="663"/>
      <c r="O7" s="663"/>
      <c r="P7" s="663"/>
      <c r="Q7" s="663">
        <v>198</v>
      </c>
      <c r="R7" s="664"/>
      <c r="S7" s="668"/>
      <c r="T7" s="675"/>
      <c r="U7" s="676"/>
      <c r="V7" s="663"/>
      <c r="W7" s="663"/>
      <c r="X7" s="663">
        <v>2335.2399999999998</v>
      </c>
      <c r="Y7" s="663">
        <v>3143</v>
      </c>
      <c r="Z7" s="663"/>
      <c r="AA7" s="663"/>
      <c r="AB7" s="663"/>
      <c r="AC7" s="663"/>
      <c r="AD7" s="663"/>
      <c r="AE7" s="663"/>
      <c r="AF7" s="663"/>
      <c r="AG7" s="663"/>
      <c r="AH7" s="663">
        <v>438</v>
      </c>
      <c r="AI7" s="663">
        <v>430</v>
      </c>
      <c r="AJ7" s="663"/>
      <c r="AK7" s="663"/>
      <c r="AL7" s="663"/>
      <c r="AM7" s="663"/>
      <c r="AN7" s="663"/>
      <c r="AO7" s="663"/>
      <c r="AP7" s="663"/>
      <c r="AQ7" s="663"/>
      <c r="AR7" s="663"/>
      <c r="AS7" s="663"/>
      <c r="AT7" s="663">
        <v>2596</v>
      </c>
      <c r="AU7" s="668">
        <v>5866</v>
      </c>
      <c r="AV7" s="675">
        <f t="shared" si="0"/>
        <v>11733.99</v>
      </c>
      <c r="AW7" s="676">
        <f t="shared" si="1"/>
        <v>15354</v>
      </c>
      <c r="AX7" s="663"/>
      <c r="AY7" s="668"/>
      <c r="AZ7" s="675">
        <f t="shared" si="2"/>
        <v>11733.99</v>
      </c>
      <c r="BA7" s="676">
        <f t="shared" si="3"/>
        <v>15354</v>
      </c>
    </row>
    <row r="8" spans="1:53" x14ac:dyDescent="0.3">
      <c r="A8" s="497" t="s">
        <v>237</v>
      </c>
      <c r="B8" s="675">
        <v>4061</v>
      </c>
      <c r="C8" s="676">
        <v>4061</v>
      </c>
      <c r="D8" s="669"/>
      <c r="E8" s="669"/>
      <c r="F8" s="663"/>
      <c r="G8" s="663"/>
      <c r="H8" s="663"/>
      <c r="I8" s="663"/>
      <c r="J8" s="663"/>
      <c r="K8" s="663"/>
      <c r="L8" s="663"/>
      <c r="M8" s="663"/>
      <c r="N8" s="663"/>
      <c r="O8" s="663"/>
      <c r="P8" s="663"/>
      <c r="Q8" s="663"/>
      <c r="R8" s="664"/>
      <c r="S8" s="668"/>
      <c r="T8" s="675"/>
      <c r="U8" s="676"/>
      <c r="V8" s="663"/>
      <c r="W8" s="663"/>
      <c r="X8" s="663"/>
      <c r="Y8" s="663"/>
      <c r="Z8" s="663"/>
      <c r="AA8" s="663"/>
      <c r="AB8" s="663"/>
      <c r="AC8" s="663"/>
      <c r="AD8" s="663"/>
      <c r="AE8" s="663"/>
      <c r="AF8" s="663"/>
      <c r="AG8" s="663"/>
      <c r="AH8" s="663"/>
      <c r="AI8" s="663"/>
      <c r="AJ8" s="663"/>
      <c r="AK8" s="663"/>
      <c r="AL8" s="663"/>
      <c r="AM8" s="663"/>
      <c r="AN8" s="663"/>
      <c r="AO8" s="663"/>
      <c r="AP8" s="663"/>
      <c r="AQ8" s="663"/>
      <c r="AR8" s="663"/>
      <c r="AS8" s="663"/>
      <c r="AT8" s="663"/>
      <c r="AU8" s="668"/>
      <c r="AV8" s="675">
        <f t="shared" si="0"/>
        <v>4061</v>
      </c>
      <c r="AW8" s="676">
        <f t="shared" si="1"/>
        <v>4061</v>
      </c>
      <c r="AX8" s="663">
        <v>622857</v>
      </c>
      <c r="AY8" s="668">
        <v>2942</v>
      </c>
      <c r="AZ8" s="675">
        <f t="shared" si="2"/>
        <v>626918</v>
      </c>
      <c r="BA8" s="676">
        <f t="shared" si="3"/>
        <v>7003</v>
      </c>
    </row>
    <row r="9" spans="1:53" x14ac:dyDescent="0.3">
      <c r="A9" s="497" t="s">
        <v>238</v>
      </c>
      <c r="B9" s="675"/>
      <c r="C9" s="676"/>
      <c r="D9" s="669"/>
      <c r="E9" s="669"/>
      <c r="F9" s="663"/>
      <c r="G9" s="663"/>
      <c r="H9" s="663"/>
      <c r="I9" s="663"/>
      <c r="J9" s="663"/>
      <c r="K9" s="663"/>
      <c r="L9" s="663"/>
      <c r="M9" s="663"/>
      <c r="N9" s="663"/>
      <c r="O9" s="663"/>
      <c r="P9" s="663"/>
      <c r="Q9" s="663"/>
      <c r="R9" s="664"/>
      <c r="S9" s="668"/>
      <c r="T9" s="675"/>
      <c r="U9" s="676"/>
      <c r="V9" s="663"/>
      <c r="W9" s="663"/>
      <c r="X9" s="663"/>
      <c r="Y9" s="663"/>
      <c r="Z9" s="663"/>
      <c r="AA9" s="663"/>
      <c r="AB9" s="663"/>
      <c r="AC9" s="663"/>
      <c r="AD9" s="663"/>
      <c r="AE9" s="663"/>
      <c r="AF9" s="663"/>
      <c r="AG9" s="663"/>
      <c r="AH9" s="663"/>
      <c r="AI9" s="663"/>
      <c r="AJ9" s="663"/>
      <c r="AK9" s="663"/>
      <c r="AL9" s="663"/>
      <c r="AM9" s="663"/>
      <c r="AN9" s="663"/>
      <c r="AO9" s="663"/>
      <c r="AP9" s="663"/>
      <c r="AQ9" s="663"/>
      <c r="AR9" s="663"/>
      <c r="AS9" s="663"/>
      <c r="AT9" s="663"/>
      <c r="AU9" s="668"/>
      <c r="AV9" s="675">
        <f t="shared" si="0"/>
        <v>0</v>
      </c>
      <c r="AW9" s="676">
        <f t="shared" si="1"/>
        <v>0</v>
      </c>
      <c r="AX9" s="663"/>
      <c r="AY9" s="668"/>
      <c r="AZ9" s="675">
        <f t="shared" si="2"/>
        <v>0</v>
      </c>
      <c r="BA9" s="676">
        <f t="shared" si="3"/>
        <v>0</v>
      </c>
    </row>
    <row r="10" spans="1:53" x14ac:dyDescent="0.3">
      <c r="A10" s="497" t="s">
        <v>239</v>
      </c>
      <c r="B10" s="675"/>
      <c r="C10" s="676"/>
      <c r="D10" s="669"/>
      <c r="E10" s="669"/>
      <c r="F10" s="663"/>
      <c r="G10" s="663"/>
      <c r="H10" s="663"/>
      <c r="I10" s="663"/>
      <c r="J10" s="663"/>
      <c r="K10" s="663"/>
      <c r="L10" s="663"/>
      <c r="M10" s="663"/>
      <c r="N10" s="663"/>
      <c r="O10" s="663"/>
      <c r="P10" s="663"/>
      <c r="Q10" s="663"/>
      <c r="R10" s="664"/>
      <c r="S10" s="668"/>
      <c r="T10" s="675"/>
      <c r="U10" s="676"/>
      <c r="V10" s="663"/>
      <c r="W10" s="663"/>
      <c r="X10" s="663"/>
      <c r="Y10" s="663"/>
      <c r="Z10" s="663"/>
      <c r="AA10" s="663"/>
      <c r="AB10" s="663"/>
      <c r="AC10" s="663"/>
      <c r="AD10" s="663"/>
      <c r="AE10" s="663"/>
      <c r="AF10" s="663"/>
      <c r="AG10" s="663"/>
      <c r="AH10" s="663"/>
      <c r="AI10" s="663"/>
      <c r="AJ10" s="663"/>
      <c r="AK10" s="663"/>
      <c r="AL10" s="663"/>
      <c r="AM10" s="663"/>
      <c r="AN10" s="663"/>
      <c r="AO10" s="663"/>
      <c r="AP10" s="663"/>
      <c r="AQ10" s="663"/>
      <c r="AR10" s="663"/>
      <c r="AS10" s="663"/>
      <c r="AT10" s="663"/>
      <c r="AU10" s="668"/>
      <c r="AV10" s="675">
        <f t="shared" si="0"/>
        <v>0</v>
      </c>
      <c r="AW10" s="676">
        <f t="shared" si="1"/>
        <v>0</v>
      </c>
      <c r="AX10" s="663"/>
      <c r="AY10" s="668"/>
      <c r="AZ10" s="675">
        <f t="shared" si="2"/>
        <v>0</v>
      </c>
      <c r="BA10" s="676">
        <f t="shared" si="3"/>
        <v>0</v>
      </c>
    </row>
    <row r="11" spans="1:53" x14ac:dyDescent="0.3">
      <c r="A11" s="497" t="s">
        <v>240</v>
      </c>
      <c r="B11" s="675"/>
      <c r="C11" s="676"/>
      <c r="D11" s="669"/>
      <c r="E11" s="669"/>
      <c r="F11" s="663"/>
      <c r="G11" s="663"/>
      <c r="H11" s="663"/>
      <c r="I11" s="663"/>
      <c r="J11" s="663"/>
      <c r="K11" s="663"/>
      <c r="L11" s="663"/>
      <c r="M11" s="663"/>
      <c r="N11" s="663"/>
      <c r="O11" s="663"/>
      <c r="P11" s="663"/>
      <c r="Q11" s="663"/>
      <c r="R11" s="664"/>
      <c r="S11" s="668"/>
      <c r="T11" s="675"/>
      <c r="U11" s="676"/>
      <c r="V11" s="663"/>
      <c r="W11" s="663"/>
      <c r="X11" s="663"/>
      <c r="Y11" s="663"/>
      <c r="Z11" s="663"/>
      <c r="AA11" s="663"/>
      <c r="AB11" s="663"/>
      <c r="AC11" s="663"/>
      <c r="AD11" s="663"/>
      <c r="AE11" s="663"/>
      <c r="AF11" s="663"/>
      <c r="AG11" s="663"/>
      <c r="AH11" s="663"/>
      <c r="AI11" s="663"/>
      <c r="AJ11" s="663"/>
      <c r="AK11" s="663"/>
      <c r="AL11" s="663"/>
      <c r="AM11" s="663"/>
      <c r="AN11" s="663"/>
      <c r="AO11" s="663"/>
      <c r="AP11" s="663"/>
      <c r="AQ11" s="663"/>
      <c r="AR11" s="663"/>
      <c r="AS11" s="663"/>
      <c r="AT11" s="663"/>
      <c r="AU11" s="668"/>
      <c r="AV11" s="675">
        <f t="shared" si="0"/>
        <v>0</v>
      </c>
      <c r="AW11" s="676">
        <f t="shared" si="1"/>
        <v>0</v>
      </c>
      <c r="AX11" s="663"/>
      <c r="AY11" s="668"/>
      <c r="AZ11" s="675">
        <f t="shared" si="2"/>
        <v>0</v>
      </c>
      <c r="BA11" s="676">
        <f t="shared" si="3"/>
        <v>0</v>
      </c>
    </row>
    <row r="12" spans="1:53" x14ac:dyDescent="0.3">
      <c r="A12" s="497" t="s">
        <v>241</v>
      </c>
      <c r="B12" s="675">
        <f>1500+4436.15</f>
        <v>5936.15</v>
      </c>
      <c r="C12" s="676">
        <f>5000+5995</f>
        <v>10995</v>
      </c>
      <c r="D12" s="669"/>
      <c r="E12" s="669"/>
      <c r="F12" s="663"/>
      <c r="G12" s="663"/>
      <c r="H12" s="663"/>
      <c r="I12" s="663"/>
      <c r="J12" s="663"/>
      <c r="K12" s="663"/>
      <c r="L12" s="663"/>
      <c r="M12" s="663"/>
      <c r="N12" s="663"/>
      <c r="O12" s="663"/>
      <c r="P12" s="663"/>
      <c r="Q12" s="663"/>
      <c r="R12" s="664"/>
      <c r="S12" s="668"/>
      <c r="T12" s="675"/>
      <c r="U12" s="676"/>
      <c r="V12" s="663"/>
      <c r="W12" s="663"/>
      <c r="X12" s="663"/>
      <c r="Y12" s="663"/>
      <c r="Z12" s="663"/>
      <c r="AA12" s="663"/>
      <c r="AB12" s="663">
        <v>1000</v>
      </c>
      <c r="AC12" s="663">
        <v>1000</v>
      </c>
      <c r="AD12" s="663"/>
      <c r="AE12" s="663"/>
      <c r="AF12" s="663">
        <v>13759.75</v>
      </c>
      <c r="AG12" s="663">
        <f>9466+992</f>
        <v>10458</v>
      </c>
      <c r="AH12" s="663"/>
      <c r="AI12" s="663"/>
      <c r="AJ12" s="663"/>
      <c r="AK12" s="663"/>
      <c r="AL12" s="663"/>
      <c r="AM12" s="663">
        <v>144</v>
      </c>
      <c r="AN12" s="663">
        <v>51.44</v>
      </c>
      <c r="AO12" s="663"/>
      <c r="AP12" s="663"/>
      <c r="AQ12" s="663"/>
      <c r="AR12" s="663"/>
      <c r="AS12" s="663">
        <v>1250</v>
      </c>
      <c r="AT12" s="663"/>
      <c r="AU12" s="668">
        <v>4880</v>
      </c>
      <c r="AV12" s="675">
        <f t="shared" si="0"/>
        <v>20747.34</v>
      </c>
      <c r="AW12" s="676">
        <f t="shared" si="1"/>
        <v>28727</v>
      </c>
      <c r="AX12" s="663">
        <v>-63.73</v>
      </c>
      <c r="AY12" s="668">
        <v>65.7</v>
      </c>
      <c r="AZ12" s="675">
        <f t="shared" si="2"/>
        <v>20683.61</v>
      </c>
      <c r="BA12" s="676">
        <f t="shared" si="3"/>
        <v>28792.7</v>
      </c>
    </row>
    <row r="13" spans="1:53" x14ac:dyDescent="0.3">
      <c r="A13" s="497" t="s">
        <v>242</v>
      </c>
      <c r="B13" s="675">
        <v>10754.28</v>
      </c>
      <c r="C13" s="676">
        <v>19792</v>
      </c>
      <c r="D13" s="669"/>
      <c r="E13" s="669"/>
      <c r="F13" s="663"/>
      <c r="G13" s="663"/>
      <c r="H13" s="663">
        <v>916028.46</v>
      </c>
      <c r="I13" s="663">
        <v>907220</v>
      </c>
      <c r="J13" s="663"/>
      <c r="K13" s="663"/>
      <c r="L13" s="663">
        <v>11029.05</v>
      </c>
      <c r="M13" s="663">
        <v>11029</v>
      </c>
      <c r="N13" s="663"/>
      <c r="O13" s="663"/>
      <c r="P13" s="663"/>
      <c r="Q13" s="663"/>
      <c r="R13" s="664"/>
      <c r="S13" s="668"/>
      <c r="T13" s="675"/>
      <c r="U13" s="676"/>
      <c r="V13" s="663">
        <v>623175.18000000005</v>
      </c>
      <c r="W13" s="663">
        <v>673467</v>
      </c>
      <c r="X13" s="663">
        <v>312802.59999999998</v>
      </c>
      <c r="Y13" s="663">
        <v>415002</v>
      </c>
      <c r="Z13" s="663">
        <v>14477.3</v>
      </c>
      <c r="AA13" s="663">
        <v>23818</v>
      </c>
      <c r="AB13" s="663"/>
      <c r="AC13" s="663"/>
      <c r="AD13" s="663">
        <v>312700.51</v>
      </c>
      <c r="AE13" s="663">
        <v>395974</v>
      </c>
      <c r="AF13" s="663">
        <v>73600.3</v>
      </c>
      <c r="AG13" s="663">
        <v>111981</v>
      </c>
      <c r="AH13" s="663"/>
      <c r="AI13" s="663"/>
      <c r="AJ13" s="663"/>
      <c r="AK13" s="663"/>
      <c r="AL13" s="663"/>
      <c r="AM13" s="663">
        <v>1065694</v>
      </c>
      <c r="AN13" s="663">
        <v>931132.01</v>
      </c>
      <c r="AO13" s="663"/>
      <c r="AP13" s="663">
        <v>52552</v>
      </c>
      <c r="AQ13" s="663">
        <v>51662</v>
      </c>
      <c r="AR13" s="663">
        <v>8606.02</v>
      </c>
      <c r="AS13" s="663">
        <v>17627</v>
      </c>
      <c r="AT13" s="663">
        <v>7270</v>
      </c>
      <c r="AU13" s="668">
        <v>1381</v>
      </c>
      <c r="AV13" s="675">
        <f t="shared" si="0"/>
        <v>3274127.7100000004</v>
      </c>
      <c r="AW13" s="676">
        <f t="shared" si="1"/>
        <v>3694647</v>
      </c>
      <c r="AX13" s="663"/>
      <c r="AY13" s="668">
        <v>469722</v>
      </c>
      <c r="AZ13" s="675">
        <f t="shared" si="2"/>
        <v>3274127.7100000004</v>
      </c>
      <c r="BA13" s="676">
        <f t="shared" si="3"/>
        <v>4164369</v>
      </c>
    </row>
    <row r="14" spans="1:53" s="1234" customFormat="1" ht="18.75" thickBot="1" x14ac:dyDescent="0.4">
      <c r="A14" s="680" t="s">
        <v>54</v>
      </c>
      <c r="B14" s="1229">
        <f t="shared" ref="B14:AY14" si="4">SUM(B4:B13)</f>
        <v>47580.63</v>
      </c>
      <c r="C14" s="1230">
        <f t="shared" si="4"/>
        <v>61677</v>
      </c>
      <c r="D14" s="1005">
        <f t="shared" si="4"/>
        <v>98527.05</v>
      </c>
      <c r="E14" s="1230">
        <f t="shared" si="4"/>
        <v>135593</v>
      </c>
      <c r="F14" s="1230">
        <f t="shared" si="4"/>
        <v>0</v>
      </c>
      <c r="G14" s="1230">
        <f t="shared" si="4"/>
        <v>0</v>
      </c>
      <c r="H14" s="1230">
        <f t="shared" si="4"/>
        <v>1027461.71</v>
      </c>
      <c r="I14" s="1230">
        <f t="shared" si="4"/>
        <v>1018479</v>
      </c>
      <c r="J14" s="1230">
        <f t="shared" si="4"/>
        <v>21671</v>
      </c>
      <c r="K14" s="1230">
        <f t="shared" si="4"/>
        <v>21198</v>
      </c>
      <c r="L14" s="1230">
        <f t="shared" si="4"/>
        <v>23529.05</v>
      </c>
      <c r="M14" s="1230">
        <f t="shared" si="4"/>
        <v>23529</v>
      </c>
      <c r="N14" s="1230">
        <f t="shared" si="4"/>
        <v>83292</v>
      </c>
      <c r="O14" s="1230">
        <f t="shared" si="4"/>
        <v>83292</v>
      </c>
      <c r="P14" s="1230">
        <f t="shared" si="4"/>
        <v>168484.78</v>
      </c>
      <c r="Q14" s="1230">
        <f t="shared" si="4"/>
        <v>171390</v>
      </c>
      <c r="R14" s="1230">
        <f t="shared" si="4"/>
        <v>0</v>
      </c>
      <c r="S14" s="1231">
        <f t="shared" si="4"/>
        <v>0</v>
      </c>
      <c r="T14" s="1229">
        <f t="shared" si="4"/>
        <v>10000</v>
      </c>
      <c r="U14" s="1230">
        <f t="shared" si="4"/>
        <v>10000</v>
      </c>
      <c r="V14" s="1005">
        <f t="shared" si="4"/>
        <v>675449.91</v>
      </c>
      <c r="W14" s="1005">
        <f t="shared" si="4"/>
        <v>1331267</v>
      </c>
      <c r="X14" s="1005">
        <f t="shared" si="4"/>
        <v>660697.3899999999</v>
      </c>
      <c r="Y14" s="1005">
        <f t="shared" si="4"/>
        <v>767064</v>
      </c>
      <c r="Z14" s="1005">
        <f t="shared" si="4"/>
        <v>14477.3</v>
      </c>
      <c r="AA14" s="1005">
        <f t="shared" si="4"/>
        <v>23818</v>
      </c>
      <c r="AB14" s="1005">
        <f t="shared" si="4"/>
        <v>28000</v>
      </c>
      <c r="AC14" s="1005">
        <f t="shared" si="4"/>
        <v>28000</v>
      </c>
      <c r="AD14" s="1005">
        <f t="shared" si="4"/>
        <v>317904.14</v>
      </c>
      <c r="AE14" s="1005">
        <f t="shared" si="4"/>
        <v>401178</v>
      </c>
      <c r="AF14" s="1005">
        <f t="shared" si="4"/>
        <v>96757.05</v>
      </c>
      <c r="AG14" s="1005">
        <v>131645</v>
      </c>
      <c r="AH14" s="1005">
        <f t="shared" si="4"/>
        <v>438</v>
      </c>
      <c r="AI14" s="1005">
        <f t="shared" si="4"/>
        <v>430</v>
      </c>
      <c r="AJ14" s="1005">
        <f t="shared" si="4"/>
        <v>30316</v>
      </c>
      <c r="AK14" s="1005">
        <f t="shared" si="4"/>
        <v>30316</v>
      </c>
      <c r="AL14" s="1005">
        <f t="shared" si="4"/>
        <v>0</v>
      </c>
      <c r="AM14" s="1005">
        <f t="shared" si="4"/>
        <v>1068792</v>
      </c>
      <c r="AN14" s="1005">
        <f t="shared" si="4"/>
        <v>932020.76</v>
      </c>
      <c r="AO14" s="1005">
        <f t="shared" si="4"/>
        <v>0</v>
      </c>
      <c r="AP14" s="1005">
        <f t="shared" si="4"/>
        <v>52763</v>
      </c>
      <c r="AQ14" s="1005">
        <f t="shared" si="4"/>
        <v>52033</v>
      </c>
      <c r="AR14" s="1005">
        <f t="shared" si="4"/>
        <v>35466.58</v>
      </c>
      <c r="AS14" s="1005">
        <f t="shared" si="4"/>
        <v>45738</v>
      </c>
      <c r="AT14" s="1230">
        <f t="shared" si="4"/>
        <v>9866</v>
      </c>
      <c r="AU14" s="1231">
        <f t="shared" si="4"/>
        <v>12127</v>
      </c>
      <c r="AV14" s="1232">
        <f t="shared" si="0"/>
        <v>4334702.3499999996</v>
      </c>
      <c r="AW14" s="1233">
        <f t="shared" si="1"/>
        <v>5417566</v>
      </c>
      <c r="AX14" s="1005">
        <f t="shared" si="4"/>
        <v>622793.27</v>
      </c>
      <c r="AY14" s="1231">
        <f t="shared" si="4"/>
        <v>472729.7</v>
      </c>
      <c r="AZ14" s="1232">
        <f t="shared" si="2"/>
        <v>4957495.6199999992</v>
      </c>
      <c r="BA14" s="1233">
        <f t="shared" si="3"/>
        <v>5890295.7000000002</v>
      </c>
    </row>
  </sheetData>
  <mergeCells count="28">
    <mergeCell ref="AT2:AU2"/>
    <mergeCell ref="AR2:AS2"/>
    <mergeCell ref="AP2:AQ2"/>
    <mergeCell ref="AN2:AO2"/>
    <mergeCell ref="AL2:AM2"/>
    <mergeCell ref="AJ2:AK2"/>
    <mergeCell ref="AB2:AC2"/>
    <mergeCell ref="A2:A3"/>
    <mergeCell ref="A1:AZ1"/>
    <mergeCell ref="B2:C2"/>
    <mergeCell ref="D2:E2"/>
    <mergeCell ref="F2:G2"/>
    <mergeCell ref="H2:I2"/>
    <mergeCell ref="L2:M2"/>
    <mergeCell ref="AZ2:BA2"/>
    <mergeCell ref="AX2:AY2"/>
    <mergeCell ref="AV2:AW2"/>
    <mergeCell ref="AD2:AE2"/>
    <mergeCell ref="AF2:AG2"/>
    <mergeCell ref="AH2:AI2"/>
    <mergeCell ref="X2:Y2"/>
    <mergeCell ref="Z2:AA2"/>
    <mergeCell ref="J2:K2"/>
    <mergeCell ref="N2:O2"/>
    <mergeCell ref="P2:Q2"/>
    <mergeCell ref="R2:S2"/>
    <mergeCell ref="T2:U2"/>
    <mergeCell ref="V2:W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BA8"/>
  <sheetViews>
    <sheetView workbookViewId="0">
      <pane xSplit="1" topLeftCell="B1" activePane="topRight" state="frozen"/>
      <selection pane="topRight" activeCell="AV14" sqref="AV14"/>
    </sheetView>
  </sheetViews>
  <sheetFormatPr defaultRowHeight="16.5" x14ac:dyDescent="0.3"/>
  <cols>
    <col min="1" max="1" width="50.85546875" style="86" bestFit="1" customWidth="1"/>
    <col min="2" max="3" width="10.42578125" style="86" bestFit="1" customWidth="1"/>
    <col min="4" max="4" width="10.42578125" style="86" customWidth="1"/>
    <col min="5" max="5" width="10.42578125" style="86" bestFit="1" customWidth="1"/>
    <col min="6" max="6" width="10.42578125" style="86" customWidth="1"/>
    <col min="7" max="7" width="10.42578125" style="86" bestFit="1" customWidth="1"/>
    <col min="8" max="10" width="10.42578125" style="86" customWidth="1"/>
    <col min="11" max="11" width="10.42578125" style="86" bestFit="1" customWidth="1"/>
    <col min="12" max="12" width="10.42578125" style="86" customWidth="1"/>
    <col min="13" max="13" width="10.42578125" style="86" bestFit="1" customWidth="1"/>
    <col min="14" max="14" width="10.42578125" style="86" customWidth="1"/>
    <col min="15" max="15" width="10.42578125" style="86" bestFit="1" customWidth="1"/>
    <col min="16" max="16" width="10.42578125" style="86" customWidth="1"/>
    <col min="17" max="17" width="10.42578125" style="86" bestFit="1" customWidth="1"/>
    <col min="18" max="18" width="10.42578125" style="86" customWidth="1"/>
    <col min="19" max="19" width="10.42578125" style="86" bestFit="1" customWidth="1"/>
    <col min="20" max="20" width="10.42578125" style="86" customWidth="1"/>
    <col min="21" max="21" width="10.42578125" style="86" bestFit="1" customWidth="1"/>
    <col min="22" max="22" width="10.42578125" style="86" customWidth="1"/>
    <col min="23" max="25" width="10.42578125" style="86" bestFit="1" customWidth="1"/>
    <col min="26" max="28" width="10.42578125" style="86" customWidth="1"/>
    <col min="29" max="29" width="10.42578125" style="86" bestFit="1" customWidth="1"/>
    <col min="30" max="34" width="10.42578125" style="86" customWidth="1"/>
    <col min="35" max="37" width="10.42578125" style="86" bestFit="1" customWidth="1"/>
    <col min="38" max="38" width="10.42578125" style="86" customWidth="1"/>
    <col min="39" max="39" width="10.42578125" style="86" bestFit="1" customWidth="1"/>
    <col min="40" max="40" width="10.42578125" style="86" customWidth="1"/>
    <col min="41" max="41" width="10.42578125" style="86" bestFit="1" customWidth="1"/>
    <col min="42" max="42" width="10.42578125" style="86" customWidth="1"/>
    <col min="43" max="43" width="10.42578125" style="86" bestFit="1" customWidth="1"/>
    <col min="44" max="44" width="10.42578125" style="86" customWidth="1"/>
    <col min="45" max="45" width="10.42578125" style="86" bestFit="1" customWidth="1"/>
    <col min="46" max="46" width="10.42578125" style="86" customWidth="1"/>
    <col min="47" max="49" width="10.42578125" style="86" bestFit="1" customWidth="1"/>
    <col min="50" max="51" width="10.42578125" style="86" customWidth="1"/>
    <col min="52" max="53" width="10.42578125" style="86" bestFit="1" customWidth="1"/>
    <col min="54" max="16384" width="9.140625" style="86"/>
  </cols>
  <sheetData>
    <row r="1" spans="1:53" s="403" customFormat="1" ht="17.25" thickBot="1" x14ac:dyDescent="0.4">
      <c r="A1" s="1226" t="s">
        <v>413</v>
      </c>
      <c r="B1" s="1002"/>
    </row>
    <row r="2" spans="1:53" ht="62.25" customHeight="1" thickBot="1" x14ac:dyDescent="0.35">
      <c r="A2" s="1359" t="s">
        <v>0</v>
      </c>
      <c r="B2" s="1361" t="s">
        <v>159</v>
      </c>
      <c r="C2" s="1362"/>
      <c r="D2" s="1295" t="s">
        <v>160</v>
      </c>
      <c r="E2" s="1296"/>
      <c r="F2" s="1295" t="s">
        <v>161</v>
      </c>
      <c r="G2" s="1296"/>
      <c r="H2" s="1295" t="s">
        <v>162</v>
      </c>
      <c r="I2" s="1296"/>
      <c r="J2" s="1295" t="s">
        <v>163</v>
      </c>
      <c r="K2" s="1296"/>
      <c r="L2" s="1295" t="s">
        <v>164</v>
      </c>
      <c r="M2" s="1296"/>
      <c r="N2" s="1295" t="s">
        <v>315</v>
      </c>
      <c r="O2" s="1296"/>
      <c r="P2" s="1295" t="s">
        <v>165</v>
      </c>
      <c r="Q2" s="1296"/>
      <c r="R2" s="1295" t="s">
        <v>166</v>
      </c>
      <c r="S2" s="1296"/>
      <c r="T2" s="1295" t="s">
        <v>167</v>
      </c>
      <c r="U2" s="1296"/>
      <c r="V2" s="1295" t="s">
        <v>168</v>
      </c>
      <c r="W2" s="1296"/>
      <c r="X2" s="1295" t="s">
        <v>169</v>
      </c>
      <c r="Y2" s="1296"/>
      <c r="Z2" s="1295" t="s">
        <v>325</v>
      </c>
      <c r="AA2" s="1296"/>
      <c r="AB2" s="1295" t="s">
        <v>170</v>
      </c>
      <c r="AC2" s="1296"/>
      <c r="AD2" s="1295" t="s">
        <v>171</v>
      </c>
      <c r="AE2" s="1296"/>
      <c r="AF2" s="1295" t="s">
        <v>172</v>
      </c>
      <c r="AG2" s="1296"/>
      <c r="AH2" s="1295" t="s">
        <v>173</v>
      </c>
      <c r="AI2" s="1296"/>
      <c r="AJ2" s="1295" t="s">
        <v>174</v>
      </c>
      <c r="AK2" s="1296"/>
      <c r="AL2" s="1295" t="s">
        <v>175</v>
      </c>
      <c r="AM2" s="1296"/>
      <c r="AN2" s="1295" t="s">
        <v>176</v>
      </c>
      <c r="AO2" s="1296"/>
      <c r="AP2" s="1295" t="s">
        <v>177</v>
      </c>
      <c r="AQ2" s="1296"/>
      <c r="AR2" s="1295" t="s">
        <v>178</v>
      </c>
      <c r="AS2" s="1335"/>
      <c r="AT2" s="1295" t="s">
        <v>179</v>
      </c>
      <c r="AU2" s="1296"/>
      <c r="AV2" s="1295" t="s">
        <v>1</v>
      </c>
      <c r="AW2" s="1296"/>
      <c r="AX2" s="1295" t="s">
        <v>180</v>
      </c>
      <c r="AY2" s="1335"/>
      <c r="AZ2" s="1295" t="s">
        <v>2</v>
      </c>
      <c r="BA2" s="1296"/>
    </row>
    <row r="3" spans="1:53" s="443" customFormat="1" ht="31.5" customHeight="1" thickBot="1" x14ac:dyDescent="0.35">
      <c r="A3" s="1360"/>
      <c r="B3" s="532" t="s">
        <v>323</v>
      </c>
      <c r="C3" s="532" t="s">
        <v>388</v>
      </c>
      <c r="D3" s="532" t="s">
        <v>323</v>
      </c>
      <c r="E3" s="532" t="s">
        <v>388</v>
      </c>
      <c r="F3" s="532" t="s">
        <v>323</v>
      </c>
      <c r="G3" s="532" t="s">
        <v>388</v>
      </c>
      <c r="H3" s="532" t="s">
        <v>323</v>
      </c>
      <c r="I3" s="532" t="s">
        <v>388</v>
      </c>
      <c r="J3" s="532" t="s">
        <v>323</v>
      </c>
      <c r="K3" s="532" t="s">
        <v>388</v>
      </c>
      <c r="L3" s="532" t="s">
        <v>323</v>
      </c>
      <c r="M3" s="532" t="s">
        <v>388</v>
      </c>
      <c r="N3" s="532" t="s">
        <v>323</v>
      </c>
      <c r="O3" s="532" t="s">
        <v>388</v>
      </c>
      <c r="P3" s="532" t="s">
        <v>323</v>
      </c>
      <c r="Q3" s="532" t="s">
        <v>388</v>
      </c>
      <c r="R3" s="532" t="s">
        <v>323</v>
      </c>
      <c r="S3" s="532" t="s">
        <v>388</v>
      </c>
      <c r="T3" s="532" t="s">
        <v>323</v>
      </c>
      <c r="U3" s="532" t="s">
        <v>388</v>
      </c>
      <c r="V3" s="532" t="s">
        <v>323</v>
      </c>
      <c r="W3" s="532" t="s">
        <v>388</v>
      </c>
      <c r="X3" s="532" t="s">
        <v>323</v>
      </c>
      <c r="Y3" s="532" t="s">
        <v>388</v>
      </c>
      <c r="Z3" s="532" t="s">
        <v>323</v>
      </c>
      <c r="AA3" s="532" t="s">
        <v>388</v>
      </c>
      <c r="AB3" s="532" t="s">
        <v>323</v>
      </c>
      <c r="AC3" s="532" t="s">
        <v>388</v>
      </c>
      <c r="AD3" s="532" t="s">
        <v>323</v>
      </c>
      <c r="AE3" s="532" t="s">
        <v>388</v>
      </c>
      <c r="AF3" s="532" t="s">
        <v>323</v>
      </c>
      <c r="AG3" s="532" t="s">
        <v>388</v>
      </c>
      <c r="AH3" s="532" t="s">
        <v>323</v>
      </c>
      <c r="AI3" s="532" t="s">
        <v>388</v>
      </c>
      <c r="AJ3" s="532" t="s">
        <v>323</v>
      </c>
      <c r="AK3" s="532" t="s">
        <v>388</v>
      </c>
      <c r="AL3" s="532" t="s">
        <v>323</v>
      </c>
      <c r="AM3" s="532" t="s">
        <v>388</v>
      </c>
      <c r="AN3" s="532" t="s">
        <v>323</v>
      </c>
      <c r="AO3" s="532" t="s">
        <v>388</v>
      </c>
      <c r="AP3" s="532" t="s">
        <v>323</v>
      </c>
      <c r="AQ3" s="532" t="s">
        <v>388</v>
      </c>
      <c r="AR3" s="532" t="s">
        <v>323</v>
      </c>
      <c r="AS3" s="532" t="s">
        <v>388</v>
      </c>
      <c r="AT3" s="532" t="s">
        <v>323</v>
      </c>
      <c r="AU3" s="532" t="s">
        <v>388</v>
      </c>
      <c r="AV3" s="532" t="s">
        <v>323</v>
      </c>
      <c r="AW3" s="532" t="s">
        <v>388</v>
      </c>
      <c r="AX3" s="532" t="s">
        <v>323</v>
      </c>
      <c r="AY3" s="532" t="s">
        <v>388</v>
      </c>
      <c r="AZ3" s="681" t="s">
        <v>323</v>
      </c>
      <c r="BA3" s="532" t="s">
        <v>388</v>
      </c>
    </row>
    <row r="4" spans="1:53" s="794" customFormat="1" ht="17.25" thickBot="1" x14ac:dyDescent="0.35">
      <c r="A4" s="997" t="s">
        <v>243</v>
      </c>
      <c r="B4" s="1003">
        <v>1500000</v>
      </c>
      <c r="C4" s="998">
        <v>50000</v>
      </c>
      <c r="D4" s="998">
        <v>7000</v>
      </c>
      <c r="E4" s="998">
        <v>7000</v>
      </c>
      <c r="F4" s="998"/>
      <c r="G4" s="998"/>
      <c r="H4" s="998"/>
      <c r="I4" s="998"/>
      <c r="J4" s="998">
        <v>6000</v>
      </c>
      <c r="K4" s="998">
        <v>6000</v>
      </c>
      <c r="L4" s="998"/>
      <c r="M4" s="998"/>
      <c r="N4" s="998"/>
      <c r="O4" s="998">
        <v>0</v>
      </c>
      <c r="P4" s="998"/>
      <c r="Q4" s="998">
        <v>0</v>
      </c>
      <c r="R4" s="998"/>
      <c r="S4" s="998"/>
      <c r="T4" s="998">
        <v>3000</v>
      </c>
      <c r="U4" s="998">
        <v>3000</v>
      </c>
      <c r="V4" s="998">
        <v>60000</v>
      </c>
      <c r="W4" s="998">
        <v>95000</v>
      </c>
      <c r="X4" s="998">
        <v>120000</v>
      </c>
      <c r="Y4" s="998">
        <v>120000</v>
      </c>
      <c r="Z4" s="998"/>
      <c r="AA4" s="998"/>
      <c r="AB4" s="998">
        <v>10000</v>
      </c>
      <c r="AC4" s="998">
        <v>22500</v>
      </c>
      <c r="AD4" s="998"/>
      <c r="AE4" s="998"/>
      <c r="AF4" s="998"/>
      <c r="AG4" s="998">
        <v>49600</v>
      </c>
      <c r="AH4" s="998"/>
      <c r="AI4" s="998">
        <v>40000</v>
      </c>
      <c r="AJ4" s="998"/>
      <c r="AK4" s="998"/>
      <c r="AL4" s="998"/>
      <c r="AM4" s="998"/>
      <c r="AN4" s="998"/>
      <c r="AO4" s="998"/>
      <c r="AP4" s="998"/>
      <c r="AQ4" s="998"/>
      <c r="AR4" s="999"/>
      <c r="AS4" s="999">
        <v>12500</v>
      </c>
      <c r="AT4" s="1006"/>
      <c r="AU4" s="795">
        <v>4880000</v>
      </c>
      <c r="AV4" s="998">
        <f t="shared" ref="AV4:AW8" si="0">SUM(B4+D4+F4+H4+J4+L4+N4+P4+R4+T4+V4+X4+Z4+AB4+AD4+AF4+AH4+AJ4+AL4+AN4+AP4+AR4+AT4)</f>
        <v>1706000</v>
      </c>
      <c r="AW4" s="998">
        <f t="shared" si="0"/>
        <v>5285600</v>
      </c>
      <c r="AX4" s="999"/>
      <c r="AY4" s="1006"/>
      <c r="AZ4" s="1000">
        <f>AV4+AX4</f>
        <v>1706000</v>
      </c>
      <c r="BA4" s="998">
        <f>SUM(AW4+AY4)</f>
        <v>5285600</v>
      </c>
    </row>
    <row r="5" spans="1:53" ht="17.25" thickBot="1" x14ac:dyDescent="0.35">
      <c r="A5" s="399" t="s">
        <v>244</v>
      </c>
      <c r="B5" s="1004"/>
      <c r="C5" s="400"/>
      <c r="D5" s="400"/>
      <c r="E5" s="400"/>
      <c r="F5" s="400"/>
      <c r="G5" s="400"/>
      <c r="H5" s="400"/>
      <c r="I5" s="400"/>
      <c r="J5" s="400"/>
      <c r="K5" s="400"/>
      <c r="L5" s="400"/>
      <c r="M5" s="400"/>
      <c r="N5" s="400"/>
      <c r="O5" s="400"/>
      <c r="P5" s="400"/>
      <c r="Q5" s="400"/>
      <c r="R5" s="400"/>
      <c r="S5" s="400"/>
      <c r="T5" s="400"/>
      <c r="U5" s="400"/>
      <c r="V5" s="400"/>
      <c r="W5" s="400"/>
      <c r="X5" s="400"/>
      <c r="Y5" s="400"/>
      <c r="Z5" s="400"/>
      <c r="AA5" s="400"/>
      <c r="AB5" s="400"/>
      <c r="AC5" s="400"/>
      <c r="AD5" s="400"/>
      <c r="AE5" s="400"/>
      <c r="AF5" s="400"/>
      <c r="AG5" s="400"/>
      <c r="AH5" s="400"/>
      <c r="AI5" s="400"/>
      <c r="AJ5" s="400"/>
      <c r="AK5" s="400"/>
      <c r="AL5" s="400"/>
      <c r="AM5" s="400"/>
      <c r="AN5" s="400"/>
      <c r="AO5" s="400"/>
      <c r="AP5" s="400"/>
      <c r="AQ5" s="400"/>
      <c r="AR5" s="402"/>
      <c r="AS5" s="402"/>
      <c r="AT5" s="413"/>
      <c r="AU5" s="401"/>
      <c r="AV5" s="998">
        <f t="shared" si="0"/>
        <v>0</v>
      </c>
      <c r="AW5" s="998">
        <f t="shared" si="0"/>
        <v>0</v>
      </c>
      <c r="AX5" s="402"/>
      <c r="AY5" s="413"/>
      <c r="AZ5" s="1008">
        <f>AV5+AX5</f>
        <v>0</v>
      </c>
      <c r="BA5" s="400"/>
    </row>
    <row r="6" spans="1:53" ht="17.25" thickBot="1" x14ac:dyDescent="0.35">
      <c r="A6" s="399" t="s">
        <v>245</v>
      </c>
      <c r="B6" s="1004"/>
      <c r="C6" s="400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0"/>
      <c r="O6" s="400"/>
      <c r="P6" s="400"/>
      <c r="Q6" s="400"/>
      <c r="R6" s="400"/>
      <c r="S6" s="400"/>
      <c r="T6" s="400"/>
      <c r="U6" s="400"/>
      <c r="V6" s="400"/>
      <c r="W6" s="400"/>
      <c r="X6" s="400"/>
      <c r="Y6" s="400"/>
      <c r="Z6" s="400"/>
      <c r="AA6" s="400"/>
      <c r="AB6" s="400"/>
      <c r="AC6" s="400"/>
      <c r="AD6" s="400"/>
      <c r="AE6" s="400"/>
      <c r="AF6" s="400"/>
      <c r="AG6" s="400"/>
      <c r="AH6" s="400"/>
      <c r="AI6" s="400"/>
      <c r="AJ6" s="400"/>
      <c r="AK6" s="400"/>
      <c r="AL6" s="400"/>
      <c r="AM6" s="400"/>
      <c r="AN6" s="400"/>
      <c r="AO6" s="400"/>
      <c r="AP6" s="400"/>
      <c r="AQ6" s="400"/>
      <c r="AR6" s="402"/>
      <c r="AS6" s="402"/>
      <c r="AT6" s="413"/>
      <c r="AU6" s="401"/>
      <c r="AV6" s="998">
        <f t="shared" si="0"/>
        <v>0</v>
      </c>
      <c r="AW6" s="998">
        <f t="shared" si="0"/>
        <v>0</v>
      </c>
      <c r="AX6" s="402"/>
      <c r="AY6" s="413"/>
      <c r="AZ6" s="1008">
        <f>AV6+AX6</f>
        <v>0</v>
      </c>
      <c r="BA6" s="400"/>
    </row>
    <row r="7" spans="1:53" ht="17.25" thickBot="1" x14ac:dyDescent="0.35">
      <c r="A7" s="399" t="s">
        <v>74</v>
      </c>
      <c r="B7" s="1004"/>
      <c r="C7" s="400"/>
      <c r="D7" s="400"/>
      <c r="E7" s="400"/>
      <c r="F7" s="400"/>
      <c r="G7" s="400"/>
      <c r="H7" s="400"/>
      <c r="I7" s="400"/>
      <c r="J7" s="400"/>
      <c r="K7" s="400"/>
      <c r="L7" s="400"/>
      <c r="M7" s="400"/>
      <c r="N7" s="400"/>
      <c r="O7" s="400"/>
      <c r="P7" s="400"/>
      <c r="Q7" s="400"/>
      <c r="R7" s="400"/>
      <c r="S7" s="400"/>
      <c r="T7" s="400"/>
      <c r="U7" s="400"/>
      <c r="V7" s="400"/>
      <c r="W7" s="400"/>
      <c r="X7" s="400"/>
      <c r="Y7" s="400"/>
      <c r="Z7" s="400"/>
      <c r="AA7" s="400"/>
      <c r="AB7" s="400"/>
      <c r="AC7" s="400"/>
      <c r="AD7" s="400"/>
      <c r="AE7" s="400"/>
      <c r="AF7" s="400"/>
      <c r="AG7" s="400"/>
      <c r="AH7" s="400"/>
      <c r="AI7" s="400"/>
      <c r="AJ7" s="400"/>
      <c r="AK7" s="400"/>
      <c r="AL7" s="400"/>
      <c r="AM7" s="400"/>
      <c r="AN7" s="400"/>
      <c r="AO7" s="400"/>
      <c r="AP7" s="400"/>
      <c r="AQ7" s="400"/>
      <c r="AR7" s="402"/>
      <c r="AS7" s="402"/>
      <c r="AT7" s="413"/>
      <c r="AU7" s="401"/>
      <c r="AV7" s="998">
        <f t="shared" si="0"/>
        <v>0</v>
      </c>
      <c r="AW7" s="998">
        <f t="shared" si="0"/>
        <v>0</v>
      </c>
      <c r="AX7" s="402"/>
      <c r="AY7" s="413"/>
      <c r="AZ7" s="1008">
        <f>AV7+AX7</f>
        <v>0</v>
      </c>
      <c r="BA7" s="400"/>
    </row>
    <row r="8" spans="1:53" s="443" customFormat="1" ht="18.75" thickBot="1" x14ac:dyDescent="0.4">
      <c r="A8" s="492" t="s">
        <v>54</v>
      </c>
      <c r="B8" s="1005">
        <f>B4</f>
        <v>1500000</v>
      </c>
      <c r="C8" s="1159">
        <f>C4</f>
        <v>50000</v>
      </c>
      <c r="D8" s="493">
        <f>D4</f>
        <v>7000</v>
      </c>
      <c r="E8" s="493">
        <v>7000</v>
      </c>
      <c r="F8" s="493"/>
      <c r="G8" s="493"/>
      <c r="H8" s="493"/>
      <c r="I8" s="493">
        <v>0</v>
      </c>
      <c r="J8" s="493">
        <f>J4</f>
        <v>6000</v>
      </c>
      <c r="K8" s="493">
        <f>K4</f>
        <v>6000</v>
      </c>
      <c r="L8" s="493"/>
      <c r="M8" s="493">
        <v>0</v>
      </c>
      <c r="N8" s="493"/>
      <c r="O8" s="493">
        <v>0</v>
      </c>
      <c r="P8" s="493"/>
      <c r="Q8" s="493">
        <v>0</v>
      </c>
      <c r="R8" s="493"/>
      <c r="S8" s="493">
        <v>0</v>
      </c>
      <c r="T8" s="493">
        <f>T4</f>
        <v>3000</v>
      </c>
      <c r="U8" s="493">
        <v>0</v>
      </c>
      <c r="V8" s="493">
        <f t="shared" ref="V8:AC8" si="1">V4</f>
        <v>60000</v>
      </c>
      <c r="W8" s="493">
        <f t="shared" si="1"/>
        <v>95000</v>
      </c>
      <c r="X8" s="493">
        <f t="shared" si="1"/>
        <v>120000</v>
      </c>
      <c r="Y8" s="493">
        <f t="shared" si="1"/>
        <v>120000</v>
      </c>
      <c r="Z8" s="493">
        <f t="shared" si="1"/>
        <v>0</v>
      </c>
      <c r="AA8" s="493">
        <f t="shared" si="1"/>
        <v>0</v>
      </c>
      <c r="AB8" s="493">
        <f t="shared" si="1"/>
        <v>10000</v>
      </c>
      <c r="AC8" s="493">
        <f t="shared" si="1"/>
        <v>22500</v>
      </c>
      <c r="AD8" s="493"/>
      <c r="AE8" s="493">
        <v>0</v>
      </c>
      <c r="AF8" s="493"/>
      <c r="AG8" s="493">
        <v>49600</v>
      </c>
      <c r="AH8" s="493"/>
      <c r="AI8" s="493">
        <v>40000</v>
      </c>
      <c r="AJ8" s="493"/>
      <c r="AK8" s="493">
        <v>0</v>
      </c>
      <c r="AL8" s="493"/>
      <c r="AM8" s="493">
        <v>0</v>
      </c>
      <c r="AN8" s="493"/>
      <c r="AO8" s="493">
        <v>0</v>
      </c>
      <c r="AP8" s="493"/>
      <c r="AQ8" s="493">
        <v>0</v>
      </c>
      <c r="AR8" s="493"/>
      <c r="AS8" s="494">
        <v>12500</v>
      </c>
      <c r="AT8" s="495"/>
      <c r="AU8" s="493">
        <v>4880000</v>
      </c>
      <c r="AV8" s="998">
        <f t="shared" si="0"/>
        <v>1706000</v>
      </c>
      <c r="AW8" s="998">
        <f t="shared" si="0"/>
        <v>5282600</v>
      </c>
      <c r="AX8" s="494"/>
      <c r="AY8" s="1007">
        <v>0</v>
      </c>
      <c r="AZ8" s="1009">
        <f>AV8+AX8</f>
        <v>1706000</v>
      </c>
      <c r="BA8" s="493">
        <f>SUM(AW8+AY8)</f>
        <v>5282600</v>
      </c>
    </row>
  </sheetData>
  <mergeCells count="27">
    <mergeCell ref="V2:W2"/>
    <mergeCell ref="T2:U2"/>
    <mergeCell ref="R2:S2"/>
    <mergeCell ref="P2:Q2"/>
    <mergeCell ref="N2:O2"/>
    <mergeCell ref="AZ2:BA2"/>
    <mergeCell ref="AX2:AY2"/>
    <mergeCell ref="AV2:AW2"/>
    <mergeCell ref="AT2:AU2"/>
    <mergeCell ref="AR2:AS2"/>
    <mergeCell ref="A2:A3"/>
    <mergeCell ref="B2:C2"/>
    <mergeCell ref="L2:M2"/>
    <mergeCell ref="J2:K2"/>
    <mergeCell ref="H2:I2"/>
    <mergeCell ref="F2:G2"/>
    <mergeCell ref="D2:E2"/>
    <mergeCell ref="AP2:AQ2"/>
    <mergeCell ref="AB2:AC2"/>
    <mergeCell ref="Z2:AA2"/>
    <mergeCell ref="X2:Y2"/>
    <mergeCell ref="AN2:AO2"/>
    <mergeCell ref="AL2:AM2"/>
    <mergeCell ref="AJ2:AK2"/>
    <mergeCell ref="AH2:AI2"/>
    <mergeCell ref="AF2:AG2"/>
    <mergeCell ref="AD2:AE2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L1</vt:lpstr>
      <vt:lpstr>L2</vt:lpstr>
      <vt:lpstr>L3</vt:lpstr>
      <vt:lpstr>L4</vt:lpstr>
      <vt:lpstr>L5</vt:lpstr>
      <vt:lpstr>L6</vt:lpstr>
      <vt:lpstr>L7</vt:lpstr>
      <vt:lpstr>L10</vt:lpstr>
      <vt:lpstr>L11</vt:lpstr>
      <vt:lpstr>L15</vt:lpstr>
      <vt:lpstr>L17</vt:lpstr>
      <vt:lpstr>L22 Persistency Ratio</vt:lpstr>
      <vt:lpstr>L32</vt:lpstr>
      <vt:lpstr>L37FPI</vt:lpstr>
      <vt:lpstr>L37Lives</vt:lpstr>
      <vt:lpstr>L38 FPI</vt:lpstr>
      <vt:lpstr>L38 NOP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Pande Sandeep</dc:creator>
  <cp:lastModifiedBy>Pande Sandeep</cp:lastModifiedBy>
  <cp:lastPrinted>2022-09-14T06:58:14Z</cp:lastPrinted>
  <dcterms:created xsi:type="dcterms:W3CDTF">2019-02-21T06:27:16Z</dcterms:created>
  <dcterms:modified xsi:type="dcterms:W3CDTF">2022-09-23T04:10:55Z</dcterms:modified>
</cp:coreProperties>
</file>